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8928ed5740df2fdd/Documents/Excel Spreadsheets for Sale/MBBR Design Calculations/Current website files/"/>
    </mc:Choice>
  </mc:AlternateContent>
  <xr:revisionPtr revIDLastSave="4" documentId="8_{5F51E762-F50A-424E-BAB9-8CC437122893}" xr6:coauthVersionLast="47" xr6:coauthVersionMax="47" xr10:uidLastSave="{B45B7248-96EC-4AAC-9DCD-F00129C78933}"/>
  <bookViews>
    <workbookView xWindow="-120" yWindow="-120" windowWidth="20730" windowHeight="11160" xr2:uid="{00000000-000D-0000-FFFF-FFFF00000000}"/>
  </bookViews>
  <sheets>
    <sheet name="1. Introduction" sheetId="4" r:id="rId1"/>
    <sheet name="2. Pre-Anoxic Denitrif." sheetId="1" r:id="rId2"/>
    <sheet name="3. Post-Anoxic Denitrif" sheetId="6" r:id="rId3"/>
    <sheet name="4. SARRmax vs D.O." sheetId="8" r:id="rId4"/>
    <sheet name="5. Satn DO vs T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2" i="1" l="1"/>
  <c r="H41" i="1"/>
  <c r="H30" i="6"/>
  <c r="C31" i="6"/>
  <c r="C108" i="1" l="1"/>
  <c r="C109" i="1"/>
  <c r="I38" i="6"/>
  <c r="D168" i="1"/>
  <c r="D169" i="1" s="1"/>
  <c r="D173" i="1" s="1"/>
  <c r="C91" i="6"/>
  <c r="C72" i="1"/>
  <c r="C84" i="1" s="1"/>
  <c r="C85" i="1" s="1"/>
  <c r="C86" i="1" s="1"/>
  <c r="H139" i="6"/>
  <c r="C139" i="6"/>
  <c r="C137" i="6"/>
  <c r="H136" i="6"/>
  <c r="H137" i="6" s="1"/>
  <c r="H138" i="6" s="1"/>
  <c r="C136" i="6"/>
  <c r="C30" i="6"/>
  <c r="C152" i="1"/>
  <c r="H149" i="1"/>
  <c r="C149" i="1"/>
  <c r="H152" i="1"/>
  <c r="C150" i="1"/>
  <c r="C41" i="1"/>
  <c r="I22" i="6"/>
  <c r="I21" i="6"/>
  <c r="C20" i="6"/>
  <c r="C70" i="6"/>
  <c r="I42" i="6"/>
  <c r="C42" i="6"/>
  <c r="C97" i="6"/>
  <c r="C98" i="6"/>
  <c r="C99" i="6"/>
  <c r="I43" i="6"/>
  <c r="C47" i="6"/>
  <c r="C48" i="6"/>
  <c r="C63" i="6"/>
  <c r="C64" i="6"/>
  <c r="C65" i="6"/>
  <c r="C66" i="6"/>
  <c r="H63" i="6"/>
  <c r="F66" i="6"/>
  <c r="F67" i="6"/>
  <c r="C77" i="6"/>
  <c r="C78" i="6"/>
  <c r="F80" i="6"/>
  <c r="F81" i="6"/>
  <c r="C119" i="6"/>
  <c r="H118" i="6"/>
  <c r="C120" i="6"/>
  <c r="D170" i="6"/>
  <c r="I21" i="1"/>
  <c r="I23" i="1" s="1"/>
  <c r="C71" i="1" s="1"/>
  <c r="I22" i="1"/>
  <c r="I31" i="1"/>
  <c r="I32" i="1"/>
  <c r="C48" i="1"/>
  <c r="E48" i="1" s="1"/>
  <c r="C49" i="1"/>
  <c r="C64" i="1"/>
  <c r="C65" i="1"/>
  <c r="C66" i="1" s="1"/>
  <c r="C67" i="1" s="1"/>
  <c r="H64" i="1" s="1"/>
  <c r="F67" i="1"/>
  <c r="F68" i="1"/>
  <c r="F85" i="1"/>
  <c r="F86" i="1"/>
  <c r="F110" i="1"/>
  <c r="F111" i="1"/>
  <c r="C133" i="1"/>
  <c r="H132" i="1" s="1"/>
  <c r="C134" i="1"/>
  <c r="E47" i="6"/>
  <c r="C92" i="6"/>
  <c r="C93" i="6"/>
  <c r="C94" i="6"/>
  <c r="H90" i="6"/>
  <c r="H91" i="6"/>
  <c r="H93" i="6"/>
  <c r="H94" i="6"/>
  <c r="C95" i="6"/>
  <c r="H96" i="6"/>
  <c r="H97" i="6"/>
  <c r="H92" i="6"/>
  <c r="H64" i="6"/>
  <c r="C101" i="6"/>
  <c r="H98" i="6"/>
  <c r="D155" i="6"/>
  <c r="D156" i="6"/>
  <c r="D160" i="6"/>
  <c r="D171" i="6"/>
  <c r="C71" i="6"/>
  <c r="C72" i="6"/>
  <c r="H71" i="6"/>
  <c r="C118" i="6"/>
  <c r="H119" i="6"/>
  <c r="H65" i="6"/>
  <c r="H66" i="6"/>
  <c r="H67" i="6"/>
  <c r="C67" i="6"/>
  <c r="H69" i="6"/>
  <c r="H70" i="6"/>
  <c r="C33" i="6" l="1"/>
  <c r="H42" i="1"/>
  <c r="H150" i="1"/>
  <c r="H151" i="1" s="1"/>
  <c r="C31" i="1"/>
  <c r="C90" i="1" s="1"/>
  <c r="H72" i="1"/>
  <c r="H73" i="1" s="1"/>
  <c r="H65" i="1"/>
  <c r="C44" i="1"/>
  <c r="C87" i="1"/>
  <c r="H83" i="1" s="1"/>
  <c r="C91" i="1"/>
  <c r="C92" i="1" s="1"/>
  <c r="H90" i="1" s="1"/>
  <c r="H93" i="1" s="1"/>
  <c r="C132" i="1"/>
  <c r="H133" i="1" s="1"/>
  <c r="H31" i="6" l="1"/>
  <c r="H32" i="6" s="1"/>
  <c r="H33" i="6" s="1"/>
  <c r="C79" i="6" s="1"/>
  <c r="H86" i="6" s="1"/>
  <c r="H43" i="1"/>
  <c r="H44" i="1" s="1"/>
  <c r="C110" i="1" s="1"/>
  <c r="C111" i="1" s="1"/>
  <c r="H108" i="1" s="1"/>
  <c r="H109" i="1" s="1"/>
  <c r="H110" i="1" s="1"/>
  <c r="H111" i="1" s="1"/>
  <c r="H66" i="1"/>
  <c r="C68" i="1"/>
  <c r="H70" i="1" s="1"/>
  <c r="H71" i="1" s="1"/>
  <c r="H67" i="1"/>
  <c r="H68" i="1" s="1"/>
  <c r="F101" i="1"/>
  <c r="H84" i="1"/>
  <c r="C80" i="6" l="1"/>
  <c r="H77" i="6" s="1"/>
  <c r="H78" i="6" s="1"/>
  <c r="H79" i="6" s="1"/>
  <c r="C115" i="1"/>
  <c r="H107" i="1"/>
  <c r="H113" i="1" s="1"/>
  <c r="H114" i="1" s="1"/>
  <c r="H116" i="1"/>
  <c r="H85" i="1"/>
  <c r="H86" i="1" s="1"/>
  <c r="C88" i="1"/>
  <c r="H88" i="1" s="1"/>
  <c r="H89" i="1" s="1"/>
  <c r="H76" i="6" l="1"/>
  <c r="H83" i="6" s="1"/>
  <c r="H84" i="6" s="1"/>
  <c r="H80" i="6"/>
  <c r="H81" i="6" s="1"/>
  <c r="F93" i="6" s="1"/>
  <c r="C83" i="6"/>
  <c r="F94" i="6" l="1"/>
</calcChain>
</file>

<file path=xl/sharedStrings.xml><?xml version="1.0" encoding="utf-8"?>
<sst xmlns="http://schemas.openxmlformats.org/spreadsheetml/2006/main" count="898" uniqueCount="436">
  <si>
    <t>Calculations</t>
  </si>
  <si>
    <t>mg/L</t>
  </si>
  <si>
    <t>EngineeringExcelTemplates.com</t>
  </si>
  <si>
    <t>Workbook Contents</t>
  </si>
  <si>
    <t>Click on tabs at the bottom of the screen to access the following:</t>
  </si>
  <si>
    <t xml:space="preserve">       Find more Excel spreadsheets for engineering at</t>
  </si>
  <si>
    <t>Why you shouldn’t give copies of this workbook away</t>
  </si>
  <si>
    <t xml:space="preserve">We at EngineeringExcelTemplates.com hope that you find this workbook useful.  If you </t>
  </si>
  <si>
    <t xml:space="preserve">would like us to develop additional useful spreadsheets for you in the future, then encourage </t>
  </si>
  <si>
    <t xml:space="preserve">your friends and colleagues to buy their own copies, rather than allowing them to copy </t>
  </si>
  <si>
    <t xml:space="preserve">the spreadsheet you purchased.  We have deliberately set our prices so low that no one </t>
  </si>
  <si>
    <t xml:space="preserve">can really claim that they can’t afford to pay.  But low prices will work for us—that is, we </t>
  </si>
  <si>
    <t xml:space="preserve">can stay in business—only if we can sell enough copies.  Bottom line: the more you get </t>
  </si>
  <si>
    <t xml:space="preserve">other people to pay for their own copies, the more low-cost useful spreadsheets will be </t>
  </si>
  <si>
    <t>available for you in the future.</t>
  </si>
  <si>
    <t>This workbook is provided "as is", without warranty of any kind, express or</t>
  </si>
  <si>
    <t>implied.</t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</si>
  <si>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/d</t>
    </r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</si>
  <si>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</si>
  <si>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g/day</t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</si>
  <si>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</si>
  <si>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</si>
  <si>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t>cylindrical</t>
  </si>
  <si>
    <t>rectangular</t>
  </si>
  <si>
    <t>Liquid Depth in Tank =</t>
  </si>
  <si>
    <t>Click on green box and then  on</t>
  </si>
  <si>
    <t xml:space="preserve">  arrow to Select Tank Shape:</t>
  </si>
  <si>
    <t>min</t>
  </si>
  <si>
    <t xml:space="preserve">         Tank L:W ratio =</t>
  </si>
  <si>
    <t xml:space="preserve">   Depth of Diffusers =</t>
  </si>
  <si>
    <t xml:space="preserve">  Standard Temperature =</t>
  </si>
  <si>
    <t xml:space="preserve">      Standard Pressure =</t>
  </si>
  <si>
    <t xml:space="preserve">  Oxygen Requirement =</t>
  </si>
  <si>
    <t xml:space="preserve">      Air Density at STP  =</t>
  </si>
  <si>
    <t xml:space="preserve">        Air Requirement =</t>
  </si>
  <si>
    <t>Press. Drop across Diffuser =</t>
  </si>
  <si>
    <t xml:space="preserve">        (from mfr/vendor)</t>
  </si>
  <si>
    <t xml:space="preserve">  Blower Outlet Pressure =</t>
  </si>
  <si>
    <t xml:space="preserve">  Atmospheric Pressure =</t>
  </si>
  <si>
    <r>
      <t>Instructions</t>
    </r>
    <r>
      <rPr>
        <b/>
        <i/>
        <sz val="12"/>
        <rFont val="Arial"/>
        <family val="2"/>
      </rPr>
      <t>:</t>
    </r>
    <r>
      <rPr>
        <i/>
        <sz val="11"/>
        <rFont val="Arial"/>
        <family val="2"/>
      </rPr>
      <t xml:space="preserve"> </t>
    </r>
    <r>
      <rPr>
        <b/>
        <i/>
        <sz val="11"/>
        <rFont val="Arial"/>
        <family val="2"/>
      </rPr>
      <t>Enter values in blue boxes.  Spreadsheet calculates values in yellow boxes</t>
    </r>
  </si>
  <si>
    <t>http://www.headworksinternational.com/userfiles/file/Webinar/BV_Webinar_Slides.pdf</t>
  </si>
  <si>
    <t>References for additional background information:</t>
  </si>
  <si>
    <r>
      <t xml:space="preserve">    </t>
    </r>
    <r>
      <rPr>
        <i/>
        <sz val="10"/>
        <rFont val="Arial"/>
        <family val="2"/>
      </rPr>
      <t xml:space="preserve"> Design and Performance</t>
    </r>
    <r>
      <rPr>
        <sz val="10"/>
        <rFont val="Arial"/>
        <family val="2"/>
      </rPr>
      <t>, Water Environment Research, Vol 83, No. 6. June 2011.</t>
    </r>
  </si>
  <si>
    <t>3. Steichen &amp; Phillips, H., M, Black &amp; Veach, Process and Practical Design Considerations for</t>
  </si>
  <si>
    <t>IFAS and MBBR Technologies, Headworks International Presentation, 03/18/2010</t>
  </si>
  <si>
    <t xml:space="preserve"> Calculated Tank Volume =</t>
  </si>
  <si>
    <t xml:space="preserve">       Peak Hour Factor =</t>
  </si>
  <si>
    <t>See information on typical design</t>
  </si>
  <si>
    <t>Carrier Spec. Surf. Area =</t>
  </si>
  <si>
    <t>Design Carrier Fill % =</t>
  </si>
  <si>
    <t>2. Odegaard, H., "The Moving Bed Biofilm Reactor," in Igasrashi, T, Watanabe, Y., Asano, T. and</t>
  </si>
  <si>
    <t>Tambo, N., Water Environmental Engineering and Reuse of Water, Hokkaido Press 1999, p 250-305.</t>
  </si>
  <si>
    <t>http://netedu.xauat.edu.cn/jpkc/netedu/jpkc2009/szylyybh/content/wlzy/7/3/The%20Moving%20Bed%20Biofilm%20Reactor.pdf</t>
  </si>
  <si>
    <t xml:space="preserve">  Carrier % Void Space =</t>
  </si>
  <si>
    <t xml:space="preserve"> (from carrier mfr/vendor - only needed to</t>
  </si>
  <si>
    <t xml:space="preserve">   calculate hydraulic detention time)</t>
  </si>
  <si>
    <t>http://www.xylemwatersolutions.com/scs/sweden/sv-se/produkter/cirkulationspumpar/documents/san3.pdf</t>
  </si>
  <si>
    <r>
      <t xml:space="preserve"> 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Daily Loading =</t>
    </r>
  </si>
  <si>
    <r>
      <t xml:space="preserve">   O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  <family val="2"/>
      </rPr>
      <t>needed per lb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=</t>
    </r>
  </si>
  <si>
    <r>
      <rPr>
        <b/>
        <sz val="12"/>
        <rFont val="Arial"/>
        <family val="2"/>
      </rPr>
      <t>Tab 1.</t>
    </r>
    <r>
      <rPr>
        <sz val="12"/>
        <rFont val="Arial"/>
        <family val="2"/>
      </rPr>
      <t xml:space="preserve"> Introduction (current tab)</t>
    </r>
  </si>
  <si>
    <t>Carrier Surf. Area needed =</t>
  </si>
  <si>
    <t>Calculated Carrier Volume =</t>
  </si>
  <si>
    <t>Typical Design Values for Carrier Surface Loading Rate (SALR):</t>
  </si>
  <si>
    <t xml:space="preserve">Source: </t>
  </si>
  <si>
    <t>1.  The typical AOR/SOR  (or AOTE/SOTE) is 0.50 for a coarse bubble aertion system.</t>
  </si>
  <si>
    <t>2.  The typical SOTE is 0.75% per foot of diffuser submergence for a coarse bubble system</t>
  </si>
  <si>
    <t>4.  1 SCF of air contains 0.0173 lbm of oxygen.</t>
  </si>
  <si>
    <t>Rules of Thumb for Estimating Oxygen/Air Requirements - Coarse Bubble Diffusers:</t>
  </si>
  <si>
    <t>5.  For biological treatment with SRT from 5 to 10 days, lb oxygen required /lb BOD removed</t>
  </si>
  <si>
    <r>
      <t xml:space="preserve">      is typically in the range from 0.92 - 1.1 lb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/lb BOD.  Higher SRT results in a higher value</t>
    </r>
  </si>
  <si>
    <t>SOTE as Function of Depth =</t>
  </si>
  <si>
    <t xml:space="preserve">        AOTE/SOTE   =</t>
  </si>
  <si>
    <r>
      <t xml:space="preserve">       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Content in Air =</t>
    </r>
  </si>
  <si>
    <t xml:space="preserve">    SOTE =</t>
  </si>
  <si>
    <t xml:space="preserve">    AOTE =</t>
  </si>
  <si>
    <t>6.  The oxidation of 1 lb of ammonia nitrogen typically requires 4.1 to 4.6 lb of oxygen.</t>
  </si>
  <si>
    <t>Introduction to the MBBR worksheets in this workbook:</t>
  </si>
  <si>
    <r>
      <t xml:space="preserve">      this value would be about 1.5 lb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/lb BOD removed.)</t>
    </r>
  </si>
  <si>
    <r>
      <t xml:space="preserve">      of lb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required/lb BOD removed.  (For a very high SRT, as is typical for an MBBR process,</t>
    </r>
  </si>
  <si>
    <t>I. Wastewater Parameter Inputs</t>
  </si>
  <si>
    <r>
      <t>1. Inputs:</t>
    </r>
    <r>
      <rPr>
        <b/>
        <sz val="10"/>
        <rFont val="Arial"/>
        <family val="2"/>
      </rPr>
      <t xml:space="preserve">  (Values of "Rule of Thumb" Constants to be used in Calculations - See notes at right)</t>
    </r>
  </si>
  <si>
    <r>
      <t xml:space="preserve">    Prim. Effl. BOD, </t>
    </r>
    <r>
      <rPr>
        <b/>
        <sz val="12"/>
        <rFont val="Arial"/>
        <family val="2"/>
      </rPr>
      <t>S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</si>
  <si>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t xml:space="preserve">   Prim. Effl. TKN Conc. =</t>
  </si>
  <si>
    <r>
      <t xml:space="preserve">  Target Effl.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Conc. =</t>
    </r>
  </si>
  <si>
    <r>
      <t xml:space="preserve">Carbon:Nitrogen Ratio, </t>
    </r>
    <r>
      <rPr>
        <b/>
        <sz val="11"/>
        <rFont val="Arial"/>
        <family val="2"/>
      </rPr>
      <t>C/N</t>
    </r>
    <r>
      <rPr>
        <sz val="10"/>
        <rFont val="Arial"/>
        <family val="2"/>
      </rPr>
      <t xml:space="preserve"> =</t>
    </r>
  </si>
  <si>
    <t>Target % N removal =</t>
  </si>
  <si>
    <t>1. Odegaard, Hallvard, "Compact Wastewater Treatment with MBBR."  DSD International Conference</t>
  </si>
  <si>
    <t>Hong Kong, 12.  11-14-2014.</t>
  </si>
  <si>
    <r>
      <t xml:space="preserve">4.  McQuarrie, J.P. and Boltz, J.P., </t>
    </r>
    <r>
      <rPr>
        <i/>
        <sz val="10"/>
        <rFont val="Arial"/>
        <family val="2"/>
      </rPr>
      <t>Moving Bed Biofilm Reactor Technology: Process Applications,</t>
    </r>
  </si>
  <si>
    <t>Criteria for Determining whether to use Pre- or Post-Denitrification:</t>
  </si>
  <si>
    <r>
      <t xml:space="preserve">1.  Pre-Denitirication is suitable if  </t>
    </r>
    <r>
      <rPr>
        <b/>
        <sz val="11"/>
        <rFont val="Arial"/>
        <family val="2"/>
      </rPr>
      <t xml:space="preserve">C/N  </t>
    </r>
    <r>
      <rPr>
        <b/>
        <u/>
        <sz val="11"/>
        <rFont val="Arial"/>
        <family val="2"/>
      </rPr>
      <t>&gt;</t>
    </r>
    <r>
      <rPr>
        <b/>
        <sz val="11"/>
        <rFont val="Arial"/>
        <family val="2"/>
      </rPr>
      <t xml:space="preserve">  4</t>
    </r>
    <r>
      <rPr>
        <sz val="11"/>
        <rFont val="Arial"/>
        <family val="2"/>
      </rPr>
      <t xml:space="preserve">  and   </t>
    </r>
    <r>
      <rPr>
        <b/>
        <sz val="11"/>
        <rFont val="Arial"/>
        <family val="2"/>
      </rPr>
      <t xml:space="preserve">Target % Removal of N  </t>
    </r>
    <r>
      <rPr>
        <b/>
        <u/>
        <sz val="11"/>
        <rFont val="Arial"/>
        <family val="2"/>
      </rPr>
      <t>&lt;</t>
    </r>
    <r>
      <rPr>
        <b/>
        <sz val="11"/>
        <rFont val="Arial"/>
        <family val="2"/>
      </rPr>
      <t xml:space="preserve">  75%</t>
    </r>
  </si>
  <si>
    <r>
      <t xml:space="preserve">2.  Post-Denitirication should be used if  </t>
    </r>
    <r>
      <rPr>
        <b/>
        <sz val="11"/>
        <rFont val="Arial"/>
        <family val="2"/>
      </rPr>
      <t>C/N  &lt;  4</t>
    </r>
    <r>
      <rPr>
        <sz val="11"/>
        <rFont val="Arial"/>
        <family val="2"/>
      </rPr>
      <t xml:space="preserve">  or   </t>
    </r>
    <r>
      <rPr>
        <b/>
        <sz val="11"/>
        <rFont val="Arial"/>
        <family val="2"/>
      </rPr>
      <t>Target % Removal of N  &gt;  75%</t>
    </r>
  </si>
  <si>
    <r>
      <t xml:space="preserve"> mg/L as CaCO</t>
    </r>
    <r>
      <rPr>
        <vertAlign val="subscript"/>
        <sz val="10"/>
        <rFont val="Arial"/>
        <family val="2"/>
      </rPr>
      <t>3</t>
    </r>
  </si>
  <si>
    <t>Input:</t>
  </si>
  <si>
    <t xml:space="preserve">                 Target Effluent Alkalinity =</t>
  </si>
  <si>
    <t>g/equiv.</t>
  </si>
  <si>
    <t>Constants needed for Calculations:</t>
  </si>
  <si>
    <r>
      <t xml:space="preserve">     Equiv Wt. of CaCO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=</t>
    </r>
  </si>
  <si>
    <r>
      <t xml:space="preserve">     Equiv Wt. of NaHCO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=</t>
    </r>
  </si>
  <si>
    <t xml:space="preserve">       Alkalinity used for Nitrification =</t>
  </si>
  <si>
    <r>
      <t xml:space="preserve">   mg/L as CaCO</t>
    </r>
    <r>
      <rPr>
        <vertAlign val="subscript"/>
        <sz val="10"/>
        <rFont val="Arial"/>
        <family val="2"/>
      </rPr>
      <t>3</t>
    </r>
  </si>
  <si>
    <t xml:space="preserve">                  Alkalinity to be added =</t>
  </si>
  <si>
    <t xml:space="preserve">           Daily Alkalinity Requirement =</t>
  </si>
  <si>
    <t xml:space="preserve">     For sodium bicarbonate use to add alkalinity:</t>
  </si>
  <si>
    <r>
      <t xml:space="preserve">           Daily NaHCO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Requirement =</t>
    </r>
  </si>
  <si>
    <t>http://www.dsdic2014.hk/ppt/Presentation_(B4-1).pdf</t>
  </si>
  <si>
    <t>https://www.ndsu.edu/pubweb/nrg/outreach/Moving%20Bed%20Biofilm%20Reactor%20for%20Denitrification%20Corey.pdf</t>
  </si>
  <si>
    <t>5. Bjornberg, Corey,  "Moving Bed Biofilm Reactor for Nitrification/Denitrification"</t>
  </si>
  <si>
    <t xml:space="preserve">       Pre-Anoxic Denitrification Process</t>
  </si>
  <si>
    <r>
      <rPr>
        <b/>
        <sz val="12"/>
        <rFont val="Arial"/>
        <family val="2"/>
      </rPr>
      <t>Tab 2.</t>
    </r>
    <r>
      <rPr>
        <sz val="12"/>
        <rFont val="Arial"/>
        <family val="2"/>
      </rPr>
      <t xml:space="preserve"> Pre-Anoxic Denitrification</t>
    </r>
  </si>
  <si>
    <r>
      <rPr>
        <b/>
        <sz val="12"/>
        <rFont val="Arial"/>
        <family val="2"/>
      </rPr>
      <t xml:space="preserve">Tab 3. </t>
    </r>
    <r>
      <rPr>
        <sz val="12"/>
        <rFont val="Arial"/>
        <family val="2"/>
      </rPr>
      <t>Post-Anoxic Denitrification</t>
    </r>
  </si>
  <si>
    <t>1. Parameters for All Three Stages</t>
  </si>
  <si>
    <t>2. Parameters for First (Pre-Anoxic) Stage:</t>
  </si>
  <si>
    <t>3. Parameters for Second (BOD Removal) Stage:</t>
  </si>
  <si>
    <t>4. Parameters for Third (Nitrification) Stage:</t>
  </si>
  <si>
    <t>II. Determine whether to use Pre-Anoxic or Post-Anoxic Denitrification</t>
  </si>
  <si>
    <r>
      <t xml:space="preserve">Design ww Flow Rate, </t>
    </r>
    <r>
      <rPr>
        <b/>
        <sz val="12"/>
        <rFont val="Arial"/>
        <family val="2"/>
      </rPr>
      <t>Q</t>
    </r>
    <r>
      <rPr>
        <b/>
        <vertAlign val="subscript"/>
        <sz val="12"/>
        <rFont val="Arial"/>
        <family val="2"/>
      </rPr>
      <t>o</t>
    </r>
    <r>
      <rPr>
        <sz val="10"/>
        <rFont val="Arial"/>
        <family val="2"/>
      </rPr>
      <t xml:space="preserve"> =</t>
    </r>
  </si>
  <si>
    <t xml:space="preserve">   (from References (2) below)</t>
  </si>
  <si>
    <t xml:space="preserve">     values for SALR at right.</t>
  </si>
  <si>
    <t>III. Carrier and Tank Shape Parameter Inputs for all Three Stages</t>
  </si>
  <si>
    <t>IV. Calculation of Carrier Volume and Required Tank Volume &amp; Dimensions</t>
  </si>
  <si>
    <t xml:space="preserve">           Prim. Effl. Alkalinity =</t>
  </si>
  <si>
    <t xml:space="preserve">     (from references 1 and 2 below)</t>
  </si>
  <si>
    <r>
      <t xml:space="preserve"> 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Daily Loading =</t>
    </r>
  </si>
  <si>
    <t xml:space="preserve">  BOD Daily Loading =</t>
  </si>
  <si>
    <t xml:space="preserve">   Alkalinity produced by Denitrification =</t>
  </si>
  <si>
    <r>
      <t xml:space="preserve">  g CaCO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/g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removed</t>
    </r>
  </si>
  <si>
    <r>
      <t xml:space="preserve">  g CaCO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/g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removed</t>
    </r>
  </si>
  <si>
    <t>2. Parameters for First (BOD Removal) Stage:</t>
  </si>
  <si>
    <t>3. Parameters for Second (Nitrification) Stage:</t>
  </si>
  <si>
    <t xml:space="preserve">       Post-Anoxic Denitrification Process</t>
  </si>
  <si>
    <r>
      <t>3.  1 SCF of air weighs 0.075 lb/ft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and contains 23% oxygen by weight, thus:</t>
    </r>
  </si>
  <si>
    <t>Denitrification calculations</t>
  </si>
  <si>
    <t>The aeration/blower calculations are made for a coarse bubble diffuser system.</t>
  </si>
  <si>
    <t>with the suspended carrier media.</t>
  </si>
  <si>
    <r>
      <t xml:space="preserve">   O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  <family val="2"/>
      </rPr>
      <t>needed per kg BOD =</t>
    </r>
  </si>
  <si>
    <r>
      <t>3.  Air weighs 0.075 lb/ft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(1.20 kg/m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  <r>
      <rPr>
        <sz val="10"/>
        <rFont val="Arial"/>
        <family val="2"/>
      </rPr>
      <t xml:space="preserve"> and contains 23% oxygen by weight, thus:</t>
    </r>
  </si>
  <si>
    <r>
      <t>4.  Air contains 0.0173 lbm of oxygen/ft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.  (0.2770 kg of oxygen/m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</si>
  <si>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Two worksheets are provided to carry out basin sizing and aeration calculations as well as</t>
  </si>
  <si>
    <t>Denitrification process.  The worksheets include calculations for the BOD removal stage</t>
  </si>
  <si>
    <t>and nitrification stage as well as for the anoxic tank.</t>
  </si>
  <si>
    <t xml:space="preserve">alkalinity requirements for a Pre-Anoxic Denitrification process and for a Post-Anoxic </t>
  </si>
  <si>
    <t>Inputs:</t>
  </si>
  <si>
    <t xml:space="preserve">                    Carbon Source to be used:</t>
  </si>
  <si>
    <t>Methanol</t>
  </si>
  <si>
    <t>https://www.werf.org/c/KnowledgeAreas/NutrientRemoval/compendium/05-Tertiary_Denitrification_Processes.aspx</t>
  </si>
  <si>
    <t>COD Requirement for Denitrification =</t>
  </si>
  <si>
    <t xml:space="preserve">      COD Content of Carbon Source =</t>
  </si>
  <si>
    <t xml:space="preserve">                  Carbon Source Dosage =</t>
  </si>
  <si>
    <t xml:space="preserve">     Daily Carbon Source Requirement =</t>
  </si>
  <si>
    <t>Source for information about Carbon Sources for Denitrification and Required Dosages:</t>
  </si>
  <si>
    <t>VII. Calculation of Carbon Source Requirements</t>
  </si>
  <si>
    <r>
      <t xml:space="preserve">  Est. of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Recycle Rato:</t>
    </r>
  </si>
  <si>
    <r>
      <t xml:space="preserve">  (Q</t>
    </r>
    <r>
      <rPr>
        <b/>
        <vertAlign val="subscript"/>
        <sz val="10"/>
        <color indexed="12"/>
        <rFont val="Arial"/>
        <family val="2"/>
      </rPr>
      <t>R</t>
    </r>
    <r>
      <rPr>
        <b/>
        <sz val="10"/>
        <color indexed="12"/>
        <rFont val="Arial"/>
        <family val="2"/>
      </rPr>
      <t>/Q</t>
    </r>
    <r>
      <rPr>
        <b/>
        <vertAlign val="subscript"/>
        <sz val="10"/>
        <color indexed="12"/>
        <rFont val="Arial"/>
        <family val="2"/>
      </rPr>
      <t>o</t>
    </r>
    <r>
      <rPr>
        <b/>
        <sz val="10"/>
        <color indexed="12"/>
        <rFont val="Arial"/>
        <family val="2"/>
      </rPr>
      <t>) - An estimate is needed here to start</t>
    </r>
  </si>
  <si>
    <t xml:space="preserve">  the iterative calculation in Sec IV below</t>
  </si>
  <si>
    <t xml:space="preserve">   (Surf. Area Removal Rate/Surf. Area Loading Rate)</t>
  </si>
  <si>
    <t xml:space="preserve">   Est. of SARR/SALR Rato =</t>
  </si>
  <si>
    <t xml:space="preserve">1. First Stage (Pre-Anoxic Tank) Calculations </t>
  </si>
  <si>
    <t xml:space="preserve">      Tank Liquid Volume =</t>
  </si>
  <si>
    <t xml:space="preserve">  Design Average Flow =</t>
  </si>
  <si>
    <t xml:space="preserve">      Peak Hourly Flow =</t>
  </si>
  <si>
    <t xml:space="preserve">    Nominal Hydraulic Retention Time at</t>
  </si>
  <si>
    <r>
      <t xml:space="preserve">  Estimate of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Surface Area</t>
    </r>
  </si>
  <si>
    <r>
      <t xml:space="preserve">       Removal Rate, </t>
    </r>
    <r>
      <rPr>
        <b/>
        <sz val="10"/>
        <rFont val="Arial"/>
        <family val="2"/>
      </rPr>
      <t>SARR</t>
    </r>
    <r>
      <rPr>
        <sz val="10"/>
        <rFont val="Arial"/>
        <family val="2"/>
      </rPr>
      <t xml:space="preserve"> =</t>
    </r>
  </si>
  <si>
    <r>
      <t xml:space="preserve">  Req'd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Removal Rate:</t>
    </r>
  </si>
  <si>
    <r>
      <t xml:space="preserve">       Est. of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Removal Rate:</t>
    </r>
  </si>
  <si>
    <r>
      <t xml:space="preserve">       Est. Rem Rate - Req'd</t>
    </r>
    <r>
      <rPr>
        <sz val="10"/>
        <rFont val="Arial"/>
        <family val="2"/>
      </rPr>
      <t xml:space="preserve"> Rate:</t>
    </r>
  </si>
  <si>
    <r>
      <t xml:space="preserve">    (for Effl.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= Target Value)</t>
    </r>
  </si>
  <si>
    <t>"Goal Seek" (in the "tools" menu of older versions and under "Data - What if Analysis" in newer</t>
  </si>
  <si>
    <t xml:space="preserve">the iterative process. </t>
  </si>
  <si>
    <t xml:space="preserve">         Tank Liquid Volume =</t>
  </si>
  <si>
    <t xml:space="preserve">    Design Average Flow =</t>
  </si>
  <si>
    <t xml:space="preserve">       Peak Hourly Flow =</t>
  </si>
  <si>
    <t xml:space="preserve">  Estimate of BOD Surface Area</t>
  </si>
  <si>
    <t xml:space="preserve">    Est. of BOD Removal Rate:</t>
  </si>
  <si>
    <t xml:space="preserve">          Calculated Effl BOD Conc.:</t>
  </si>
  <si>
    <r>
      <t xml:space="preserve">  Estimate of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Surface Area</t>
    </r>
  </si>
  <si>
    <t xml:space="preserve">       Tank Liquid Volume =</t>
  </si>
  <si>
    <r>
      <t xml:space="preserve"> Prim. Effl.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Conc. =</t>
    </r>
  </si>
  <si>
    <t xml:space="preserve">     Tank Liquid Volume =</t>
  </si>
  <si>
    <r>
      <t xml:space="preserve">  Est. of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Removal Rate:</t>
    </r>
  </si>
  <si>
    <r>
      <t xml:space="preserve">       Calculated Effl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Conc.:</t>
    </r>
  </si>
  <si>
    <t>MBBR Process Design Calculations - U.S. units</t>
  </si>
  <si>
    <t>MGD</t>
  </si>
  <si>
    <t>ft</t>
  </si>
  <si>
    <t>lb/day</t>
  </si>
  <si>
    <r>
      <t>ft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</si>
  <si>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5. For biological treatment with SRT fro 5 to 10 days, lb oxygen required /lb BOD removed</t>
  </si>
  <si>
    <r>
      <t xml:space="preserve"> lb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/lb BOD</t>
    </r>
  </si>
  <si>
    <r>
      <t xml:space="preserve"> lb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/lb NH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</t>
    </r>
  </si>
  <si>
    <t xml:space="preserve"> % per ft depth</t>
  </si>
  <si>
    <t>in W.C.</t>
  </si>
  <si>
    <r>
      <t>o</t>
    </r>
    <r>
      <rPr>
        <sz val="10"/>
        <rFont val="Arial"/>
        <family val="2"/>
      </rPr>
      <t>F</t>
    </r>
  </si>
  <si>
    <t>psi</t>
  </si>
  <si>
    <t>lbm/SCF</t>
  </si>
  <si>
    <t xml:space="preserve">   psia</t>
  </si>
  <si>
    <t>SCFM</t>
  </si>
  <si>
    <r>
      <t xml:space="preserve">   O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  <family val="2"/>
      </rPr>
      <t>needed per lb BOD =</t>
    </r>
  </si>
  <si>
    <t xml:space="preserve">1. First Stage (BOD Removal) Calculations </t>
  </si>
  <si>
    <t xml:space="preserve">2. Second Stage (Nitrification) Calculations </t>
  </si>
  <si>
    <t xml:space="preserve">3. Third Stage (Post-Anoxic) Calculations </t>
  </si>
  <si>
    <t xml:space="preserve">     BOD Daily Loading =</t>
  </si>
  <si>
    <t>gal</t>
  </si>
  <si>
    <t xml:space="preserve"> Required Tank Volume =</t>
  </si>
  <si>
    <r>
      <t xml:space="preserve">   lb/day as CaCO</t>
    </r>
    <r>
      <rPr>
        <vertAlign val="subscript"/>
        <sz val="10"/>
        <rFont val="Arial"/>
        <family val="2"/>
      </rPr>
      <t>3</t>
    </r>
  </si>
  <si>
    <r>
      <t xml:space="preserve">   lb/day NaHCO</t>
    </r>
    <r>
      <rPr>
        <vertAlign val="subscript"/>
        <sz val="10"/>
        <rFont val="Arial"/>
        <family val="2"/>
      </rPr>
      <t>3</t>
    </r>
  </si>
  <si>
    <t xml:space="preserve">  lb COD/lb Carbon Source</t>
  </si>
  <si>
    <t xml:space="preserve">   lb/day</t>
  </si>
  <si>
    <t xml:space="preserve">    Equations used for Tank Sizing - Pre-Anoxic Stage</t>
  </si>
  <si>
    <t xml:space="preserve">  Carrier Volume needed = Carrier Surf Area/Carrier Spec Surf Area</t>
  </si>
  <si>
    <t xml:space="preserve">  Required Tank Volume = Carrier Volume/Des Carrier Fill PerCent</t>
  </si>
  <si>
    <r>
      <t xml:space="preserve">  Tank Width &amp; Length calculated from:  </t>
    </r>
    <r>
      <rPr>
        <b/>
        <sz val="11"/>
        <color indexed="8"/>
        <rFont val="Calibri"/>
        <family val="2"/>
      </rPr>
      <t>Tank Volume = L*W*Liquid Depth</t>
    </r>
  </si>
  <si>
    <r>
      <t xml:space="preserve">  </t>
    </r>
    <r>
      <rPr>
        <b/>
        <sz val="11"/>
        <color indexed="8"/>
        <rFont val="Calibri"/>
        <family val="2"/>
      </rPr>
      <t>Or</t>
    </r>
    <r>
      <rPr>
        <sz val="11"/>
        <color indexed="8"/>
        <rFont val="Calibri"/>
        <family val="2"/>
      </rPr>
      <t xml:space="preserve">, Tank Diameter calculated from:  </t>
    </r>
    <r>
      <rPr>
        <b/>
        <sz val="11"/>
        <color indexed="8"/>
        <rFont val="Calibri"/>
        <family val="2"/>
      </rPr>
      <t>Tank Volume = (</t>
    </r>
    <r>
      <rPr>
        <b/>
        <sz val="11"/>
        <color indexed="8"/>
        <rFont val="Symbol"/>
        <family val="1"/>
        <charset val="2"/>
      </rPr>
      <t>p</t>
    </r>
    <r>
      <rPr>
        <b/>
        <sz val="11"/>
        <color indexed="8"/>
        <rFont val="Calibri"/>
        <family val="2"/>
      </rPr>
      <t>D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>/4)Liquid Depth</t>
    </r>
  </si>
  <si>
    <t xml:space="preserve">  Tank Liquid Volume = Tank Volume-((1-Carrier PerCent Void)*Carrier Volume)</t>
  </si>
  <si>
    <t xml:space="preserve">  Nominal HRT at Des Ave Flow = Tank Liq Vol/(WW Flow Rate/(24*60))</t>
  </si>
  <si>
    <t xml:space="preserve">  Nominal HRT at Peak Hourly Flow = Hydr Det Time at Des Ave Flow/Peak Hour Factor</t>
  </si>
  <si>
    <t xml:space="preserve">  Estimated  SARR = SALR(SARR/SALR)</t>
  </si>
  <si>
    <r>
      <t xml:space="preserve">  Estimated 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Removal Rate = SARR*Carrier Surf Area</t>
    </r>
  </si>
  <si>
    <r>
      <t xml:space="preserve">   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Daily Loading = Q</t>
    </r>
    <r>
      <rPr>
        <b/>
        <vertAlign val="subscript"/>
        <sz val="11"/>
        <color indexed="8"/>
        <rFont val="Calibri"/>
        <family val="2"/>
      </rPr>
      <t>o</t>
    </r>
    <r>
      <rPr>
        <b/>
        <sz val="11"/>
        <color indexed="8"/>
        <rFont val="Calibri"/>
        <family val="2"/>
      </rPr>
      <t>*Prim Effl 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-N*8.34 + Q</t>
    </r>
    <r>
      <rPr>
        <b/>
        <vertAlign val="subscript"/>
        <sz val="11"/>
        <color indexed="8"/>
        <rFont val="Calibri"/>
        <family val="2"/>
      </rPr>
      <t>o</t>
    </r>
    <r>
      <rPr>
        <b/>
        <sz val="11"/>
        <color indexed="8"/>
        <rFont val="Calibri"/>
        <family val="2"/>
      </rPr>
      <t>*NO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Recycle Ratio*Target Effl 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-N*8.34</t>
    </r>
  </si>
  <si>
    <r>
      <t xml:space="preserve">  Required 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Removal Rate = Q</t>
    </r>
    <r>
      <rPr>
        <b/>
        <vertAlign val="subscript"/>
        <sz val="11"/>
        <color indexed="8"/>
        <rFont val="Calibri"/>
        <family val="2"/>
      </rPr>
      <t>o</t>
    </r>
    <r>
      <rPr>
        <b/>
        <sz val="11"/>
        <color indexed="8"/>
        <rFont val="Calibri"/>
        <family val="2"/>
      </rPr>
      <t>*(Prim Effl TKN - Effl N0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- Effl NH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-N)*8.34</t>
    </r>
  </si>
  <si>
    <t xml:space="preserve">    Equations used for Tank Sizing - BOD Removal Stage</t>
  </si>
  <si>
    <t xml:space="preserve">  Carrier Volume needed,  Required Tank Volume, and Tank dimensions</t>
  </si>
  <si>
    <t xml:space="preserve">       use the same equations shown above.</t>
  </si>
  <si>
    <t xml:space="preserve">  Tank Liquid Volume, Nominal HRTs, and Estimated SARR are</t>
  </si>
  <si>
    <t xml:space="preserve">          calculated as shown above.</t>
  </si>
  <si>
    <t xml:space="preserve">  Estimated BOD Removal Rate = SARR*Carrier Surf Area</t>
  </si>
  <si>
    <t xml:space="preserve">    Equations used for Tank Sizing - Nitrification Stage</t>
  </si>
  <si>
    <r>
      <t xml:space="preserve">  Estimated NH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Removal Rate = SARR*Carrier Surf Area</t>
    </r>
  </si>
  <si>
    <r>
      <t xml:space="preserve">  Calculated Eff. BOD Conc. =  (BOD Daily Loading - BOD Removal Rate)/Q</t>
    </r>
    <r>
      <rPr>
        <b/>
        <vertAlign val="subscript"/>
        <sz val="11"/>
        <color indexed="8"/>
        <rFont val="Calibri"/>
        <family val="2"/>
      </rPr>
      <t>o</t>
    </r>
    <r>
      <rPr>
        <b/>
        <sz val="11"/>
        <color indexed="8"/>
        <rFont val="Calibri"/>
        <family val="2"/>
      </rPr>
      <t>/8.34</t>
    </r>
  </si>
  <si>
    <r>
      <t xml:space="preserve">   NH</t>
    </r>
    <r>
      <rPr>
        <b/>
        <vertAlign val="subscript"/>
        <sz val="11"/>
        <rFont val="Calibri"/>
        <family val="2"/>
      </rPr>
      <t>3</t>
    </r>
    <r>
      <rPr>
        <b/>
        <sz val="11"/>
        <rFont val="Calibri"/>
        <family val="2"/>
      </rPr>
      <t>-N Daily Loading = Q</t>
    </r>
    <r>
      <rPr>
        <b/>
        <vertAlign val="subscript"/>
        <sz val="11"/>
        <rFont val="Calibri"/>
        <family val="2"/>
      </rPr>
      <t>o</t>
    </r>
    <r>
      <rPr>
        <b/>
        <sz val="11"/>
        <rFont val="Calibri"/>
        <family val="2"/>
      </rPr>
      <t>*Prim Effl NH</t>
    </r>
    <r>
      <rPr>
        <b/>
        <vertAlign val="subscript"/>
        <sz val="11"/>
        <rFont val="Calibri"/>
        <family val="2"/>
      </rPr>
      <t>3</t>
    </r>
    <r>
      <rPr>
        <b/>
        <sz val="11"/>
        <rFont val="Calibri"/>
        <family val="2"/>
      </rPr>
      <t>-N*8.34</t>
    </r>
  </si>
  <si>
    <r>
      <t xml:space="preserve">  Carrier Surf. Area needed = NH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Daily Loading*453.59/SALR_NH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</t>
    </r>
  </si>
  <si>
    <t xml:space="preserve">  Carrier Surf. Area needed = BOD Daily Loading*453.59/SALR_BOD</t>
  </si>
  <si>
    <t xml:space="preserve">  Carrier Surf. Area needed = Nitrate Daily Loading*453.59/SALR_PreAnoxic</t>
  </si>
  <si>
    <r>
      <t xml:space="preserve">  Calculated Eff. NH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Conc. =  (NH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Daily Loading - NH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Removal Rate)/Q</t>
    </r>
    <r>
      <rPr>
        <b/>
        <vertAlign val="subscript"/>
        <sz val="11"/>
        <color indexed="8"/>
        <rFont val="Calibri"/>
        <family val="2"/>
      </rPr>
      <t>o</t>
    </r>
    <r>
      <rPr>
        <b/>
        <sz val="11"/>
        <color indexed="8"/>
        <rFont val="Calibri"/>
        <family val="2"/>
      </rPr>
      <t>/8.34</t>
    </r>
  </si>
  <si>
    <r>
      <t xml:space="preserve">   BOD Daily Loading = (Q</t>
    </r>
    <r>
      <rPr>
        <b/>
        <vertAlign val="subscript"/>
        <sz val="11"/>
        <color indexed="8"/>
        <rFont val="Calibri"/>
        <family val="2"/>
      </rPr>
      <t>o</t>
    </r>
    <r>
      <rPr>
        <b/>
        <sz val="11"/>
        <color indexed="8"/>
        <rFont val="Calibri"/>
        <family val="2"/>
      </rPr>
      <t>*S</t>
    </r>
    <r>
      <rPr>
        <b/>
        <vertAlign val="subscript"/>
        <sz val="11"/>
        <color indexed="8"/>
        <rFont val="Calibri"/>
        <family val="2"/>
      </rPr>
      <t>o</t>
    </r>
    <r>
      <rPr>
        <b/>
        <sz val="11"/>
        <color indexed="8"/>
        <rFont val="Calibri"/>
        <family val="2"/>
      </rPr>
      <t>*8.34)</t>
    </r>
  </si>
  <si>
    <t xml:space="preserve">    Equations used for Tank Sizing - Post-Anoxic Stage</t>
  </si>
  <si>
    <r>
      <t xml:space="preserve">  Calculated Eff. 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Conc. =  (NO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Daily Loading - 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Removal Rate)/Q</t>
    </r>
    <r>
      <rPr>
        <b/>
        <vertAlign val="subscript"/>
        <sz val="11"/>
        <color indexed="8"/>
        <rFont val="Calibri"/>
        <family val="2"/>
      </rPr>
      <t>o</t>
    </r>
    <r>
      <rPr>
        <b/>
        <sz val="11"/>
        <color indexed="8"/>
        <rFont val="Calibri"/>
        <family val="2"/>
      </rPr>
      <t>/8.34</t>
    </r>
  </si>
  <si>
    <t xml:space="preserve">        (from carrier mfr/vendor)</t>
  </si>
  <si>
    <r>
      <t xml:space="preserve"> Design Value of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Surface</t>
    </r>
  </si>
  <si>
    <t xml:space="preserve"> Area Loading Rate (SALR) =</t>
  </si>
  <si>
    <t>Data points for SARR/SALR vs SALR</t>
  </si>
  <si>
    <r>
      <t xml:space="preserve">           </t>
    </r>
    <r>
      <rPr>
        <b/>
        <sz val="10"/>
        <rFont val="Arial"/>
        <family val="2"/>
      </rPr>
      <t>SALR</t>
    </r>
    <r>
      <rPr>
        <sz val="10"/>
        <rFont val="Arial"/>
        <family val="2"/>
      </rPr>
      <t xml:space="preserve"> (g/m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/d):</t>
    </r>
  </si>
  <si>
    <t xml:space="preserve">            SARR/SALR:</t>
  </si>
  <si>
    <t xml:space="preserve">         Slope, SARR/SALR vs SALR:</t>
  </si>
  <si>
    <t xml:space="preserve">     Intercept, SARR/SALR vs SALR:</t>
  </si>
  <si>
    <t xml:space="preserve">                Est. of SARR/SALR Rato =</t>
  </si>
  <si>
    <t>(default values above are from a graph of Pre-Anoxic</t>
  </si>
  <si>
    <t xml:space="preserve">     SARR vs SALR in ref #6 below right)</t>
  </si>
  <si>
    <t xml:space="preserve"> Design Value of BOD Surface</t>
  </si>
  <si>
    <t xml:space="preserve">  Area Loading Rate (SALR) =</t>
  </si>
  <si>
    <r>
      <t>if the process worked properly.  Note that an initial estimate of Q</t>
    </r>
    <r>
      <rPr>
        <b/>
        <vertAlign val="subscript"/>
        <sz val="11"/>
        <color indexed="12"/>
        <rFont val="Times New Roman"/>
        <family val="1"/>
      </rPr>
      <t>R</t>
    </r>
    <r>
      <rPr>
        <b/>
        <sz val="11"/>
        <color indexed="12"/>
        <rFont val="Times New Roman"/>
        <family val="1"/>
      </rPr>
      <t>/Q</t>
    </r>
    <r>
      <rPr>
        <b/>
        <vertAlign val="subscript"/>
        <sz val="11"/>
        <color indexed="12"/>
        <rFont val="Times New Roman"/>
        <family val="1"/>
      </rPr>
      <t>o</t>
    </r>
    <r>
      <rPr>
        <b/>
        <sz val="11"/>
        <color indexed="12"/>
        <rFont val="Times New Roman"/>
        <family val="1"/>
      </rPr>
      <t xml:space="preserve"> is needed in cell C17 to start</t>
    </r>
  </si>
  <si>
    <t xml:space="preserve">    too high, the design value of SALR</t>
  </si>
  <si>
    <t>Design Value of BOD Surface</t>
  </si>
  <si>
    <t>Area Loading Rate (SALR) =</t>
  </si>
  <si>
    <t>(default values above are from a graph of</t>
  </si>
  <si>
    <t>Post-Anoxic  SARR vs SALR in ref #6 below right)</t>
  </si>
  <si>
    <r>
      <t xml:space="preserve">  If the calculated Effl. NO</t>
    </r>
    <r>
      <rPr>
        <b/>
        <vertAlign val="subscript"/>
        <sz val="10"/>
        <color indexed="36"/>
        <rFont val="Arial"/>
        <family val="2"/>
      </rPr>
      <t>3</t>
    </r>
    <r>
      <rPr>
        <b/>
        <sz val="10"/>
        <color indexed="36"/>
        <rFont val="Arial"/>
        <family val="2"/>
      </rPr>
      <t>-N conc. Is</t>
    </r>
  </si>
  <si>
    <t xml:space="preserve">    (in cell C36) should be reduced.</t>
  </si>
  <si>
    <t xml:space="preserve">      Aquateam - Norwegian Water Technology Center, Oslo, Norway.</t>
  </si>
  <si>
    <r>
      <t xml:space="preserve">6. Rusten, B. and Paulsrud, B.,  </t>
    </r>
    <r>
      <rPr>
        <i/>
        <sz val="10"/>
        <rFont val="Arial"/>
        <family val="2"/>
      </rPr>
      <t>Improved Nutrient Removal with Biofilm Reactors</t>
    </r>
    <r>
      <rPr>
        <sz val="10"/>
        <rFont val="Arial"/>
        <family val="2"/>
      </rPr>
      <t>,</t>
    </r>
  </si>
  <si>
    <t xml:space="preserve">   (from Reference (2) below)</t>
  </si>
  <si>
    <t>should come from your carrier supplier.</t>
  </si>
  <si>
    <t>2. Second Stage (BOD Removal) Calculations</t>
  </si>
  <si>
    <t>3. Third Stage (Nitrification) Calculations</t>
  </si>
  <si>
    <r>
      <t xml:space="preserve">   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Daily Loading = Q</t>
    </r>
    <r>
      <rPr>
        <b/>
        <vertAlign val="subscript"/>
        <sz val="11"/>
        <color indexed="8"/>
        <rFont val="Calibri"/>
        <family val="2"/>
      </rPr>
      <t>o</t>
    </r>
    <r>
      <rPr>
        <b/>
        <sz val="11"/>
        <color indexed="8"/>
        <rFont val="Calibri"/>
        <family val="2"/>
      </rPr>
      <t>*Prim Effl 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 xml:space="preserve">-N*8.34 </t>
    </r>
  </si>
  <si>
    <t>(default values above are from the table of typical values</t>
  </si>
  <si>
    <t xml:space="preserve">   (The graph is shown at the right.)</t>
  </si>
  <si>
    <t>NOTE:  This graph was prepared using values from a similar graph in</t>
  </si>
  <si>
    <t>Rusten and Paulsrud's presentation (Ref #6 below).</t>
  </si>
  <si>
    <t xml:space="preserve">        (The graph is shown at the right.)</t>
  </si>
  <si>
    <t xml:space="preserve">  of % BOD removal vs SALR shown at the right from ref #2)</t>
  </si>
  <si>
    <t>The basin sizing calculations require values for several MBBR carrier properties:  (specific</t>
  </si>
  <si>
    <r>
      <t>surface area in m</t>
    </r>
    <r>
      <rPr>
        <vertAlign val="super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/m</t>
    </r>
    <r>
      <rPr>
        <vertAlign val="superscript"/>
        <sz val="11"/>
        <color indexed="8"/>
        <rFont val="Calibri"/>
        <family val="2"/>
      </rPr>
      <t xml:space="preserve">3 </t>
    </r>
    <r>
      <rPr>
        <sz val="11"/>
        <color indexed="8"/>
        <rFont val="Calibri"/>
        <family val="2"/>
      </rPr>
      <t>and % void space).  Values to be used in the design calculations</t>
    </r>
  </si>
  <si>
    <t>Coarse bubble diffusers are typically used, because they work better</t>
  </si>
  <si>
    <r>
      <t xml:space="preserve">  lb COD/lb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removed</t>
    </r>
  </si>
  <si>
    <r>
      <t xml:space="preserve">  lb Carbon Source/lb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-N removed</t>
    </r>
  </si>
  <si>
    <r>
      <t xml:space="preserve">  (BOD </t>
    </r>
    <r>
      <rPr>
        <b/>
        <sz val="10"/>
        <rFont val="Arial"/>
        <family val="2"/>
      </rPr>
      <t>SALR</t>
    </r>
    <r>
      <rPr>
        <sz val="10"/>
        <rFont val="Arial"/>
        <family val="2"/>
      </rPr>
      <t xml:space="preserve"> should be &lt; 0.5 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/d in order</t>
    </r>
  </si>
  <si>
    <t xml:space="preserve">     to achieve a good nitrification rate)</t>
  </si>
  <si>
    <t>(target L:W - only used if tank is rectangular)</t>
  </si>
  <si>
    <t>(Carrier fill % is typically between 30% and 70%.  Lower</t>
  </si>
  <si>
    <t>values are more conservative, allowing future capacity</t>
  </si>
  <si>
    <t>expansion or reduction of SALR by adding more carrier.</t>
  </si>
  <si>
    <t xml:space="preserve">1st stage tank volume - </t>
  </si>
  <si>
    <t xml:space="preserve">     - 2nd stage tank volume =</t>
  </si>
  <si>
    <t>stage tank volume, use Excel's Goal Seek process to set</t>
  </si>
  <si>
    <t>To make the 2nd stage tank volume the same as the first stage tank volume, use</t>
  </si>
  <si>
    <r>
      <t xml:space="preserve">      Check on BOD </t>
    </r>
    <r>
      <rPr>
        <b/>
        <sz val="10"/>
        <rFont val="Arial"/>
        <family val="2"/>
      </rPr>
      <t>SALR</t>
    </r>
    <r>
      <rPr>
        <sz val="10"/>
        <rFont val="Arial"/>
        <family val="2"/>
      </rPr>
      <t>:</t>
    </r>
  </si>
  <si>
    <t xml:space="preserve"> (for third stage)</t>
  </si>
  <si>
    <t>To make the 3rd stage tank volume the same as the first</t>
  </si>
  <si>
    <r>
      <t xml:space="preserve">      (BOD </t>
    </r>
    <r>
      <rPr>
        <b/>
        <sz val="10"/>
        <rFont val="Arial"/>
        <family val="2"/>
      </rPr>
      <t>SALR</t>
    </r>
    <r>
      <rPr>
        <sz val="10"/>
        <rFont val="Arial"/>
        <family val="2"/>
      </rPr>
      <t xml:space="preserve"> should be &lt; 0.5 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/d in order</t>
    </r>
  </si>
  <si>
    <t xml:space="preserve">         to achieve a good nitrification rate)</t>
  </si>
  <si>
    <t xml:space="preserve">  (target L:W - only used if tank is rectangular)</t>
  </si>
  <si>
    <r>
      <t xml:space="preserve">    If the calculated Effl. BOD</t>
    </r>
    <r>
      <rPr>
        <b/>
        <sz val="10"/>
        <color indexed="36"/>
        <rFont val="Arial"/>
        <family val="2"/>
      </rPr>
      <t xml:space="preserve"> conc. Is too high, the</t>
    </r>
  </si>
  <si>
    <t xml:space="preserve"> (for first stage)</t>
  </si>
  <si>
    <t xml:space="preserve"> (for second stage)      Tank Liquid Volume =</t>
  </si>
  <si>
    <t>To make the 2nd stage tank volume the same as the</t>
  </si>
  <si>
    <t>first stage, use Excel's Goal Seek process to set cell</t>
  </si>
  <si>
    <t xml:space="preserve"> Tank Liquid Volume =</t>
  </si>
  <si>
    <t xml:space="preserve"> (for third stage)     Required Tank Volume =</t>
  </si>
  <si>
    <t xml:space="preserve">     3rd stage tank volume =</t>
  </si>
  <si>
    <t xml:space="preserve">    design value of SALR (in cell C17) should be reduced.</t>
  </si>
  <si>
    <r>
      <t xml:space="preserve">     Check on BOD </t>
    </r>
    <r>
      <rPr>
        <b/>
        <sz val="10"/>
        <rFont val="Arial"/>
        <family val="2"/>
      </rPr>
      <t>SALR</t>
    </r>
    <r>
      <rPr>
        <sz val="10"/>
        <rFont val="Arial"/>
        <family val="2"/>
      </rPr>
      <t>:</t>
    </r>
  </si>
  <si>
    <r>
      <t>Target Effl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-N Conc, </t>
    </r>
    <r>
      <rPr>
        <b/>
        <sz val="11"/>
        <rFont val="Arial"/>
        <family val="2"/>
      </rPr>
      <t>NH</t>
    </r>
    <r>
      <rPr>
        <b/>
        <vertAlign val="subscript"/>
        <sz val="11"/>
        <rFont val="Arial"/>
        <family val="2"/>
      </rPr>
      <t>4</t>
    </r>
    <r>
      <rPr>
        <b/>
        <sz val="11"/>
        <rFont val="Arial"/>
        <family val="2"/>
      </rPr>
      <t>-N</t>
    </r>
    <r>
      <rPr>
        <b/>
        <vertAlign val="subscript"/>
        <sz val="11"/>
        <rFont val="Arial"/>
        <family val="2"/>
      </rPr>
      <t>e</t>
    </r>
    <r>
      <rPr>
        <sz val="10"/>
        <rFont val="Arial"/>
        <family val="2"/>
      </rPr>
      <t xml:space="preserve">  =</t>
    </r>
  </si>
  <si>
    <r>
      <t xml:space="preserve">    Influent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 Conc. =</t>
    </r>
  </si>
  <si>
    <r>
      <t xml:space="preserve">      Min Design Temp., </t>
    </r>
    <r>
      <rPr>
        <b/>
        <sz val="11"/>
        <rFont val="Arial"/>
        <family val="2"/>
      </rPr>
      <t>T</t>
    </r>
    <r>
      <rPr>
        <sz val="10"/>
        <rFont val="Arial"/>
        <family val="2"/>
      </rPr>
      <t xml:space="preserve"> =</t>
    </r>
  </si>
  <si>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</t>
    </r>
  </si>
  <si>
    <t xml:space="preserve">        D.O Conc. in Reactor =</t>
  </si>
  <si>
    <t xml:space="preserve">    D.O Conc. in Reactor =</t>
  </si>
  <si>
    <t>Nitrification SARR:</t>
  </si>
  <si>
    <t>D.O.</t>
  </si>
  <si>
    <r>
      <t>SARR</t>
    </r>
    <r>
      <rPr>
        <vertAlign val="subscript"/>
        <sz val="10"/>
        <rFont val="Arial"/>
        <family val="2"/>
      </rPr>
      <t>max</t>
    </r>
  </si>
  <si>
    <r>
      <t>N @ SARR</t>
    </r>
    <r>
      <rPr>
        <vertAlign val="subscript"/>
        <sz val="10"/>
        <rFont val="Arial"/>
        <family val="2"/>
      </rPr>
      <t>max</t>
    </r>
  </si>
  <si>
    <r>
      <t>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/d</t>
    </r>
  </si>
  <si>
    <r>
      <t>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 concentration.</t>
    </r>
  </si>
  <si>
    <t xml:space="preserve">     SALR is calculated as SARR/% removal.</t>
  </si>
  <si>
    <r>
      <rPr>
        <sz val="11"/>
        <rFont val="Arial"/>
        <family val="2"/>
      </rPr>
      <t>Estimation of</t>
    </r>
    <r>
      <rPr>
        <sz val="10"/>
        <rFont val="Arial"/>
        <family val="2"/>
      </rPr>
      <t xml:space="preserve"> </t>
    </r>
    <r>
      <rPr>
        <b/>
        <sz val="11"/>
        <rFont val="Arial"/>
        <family val="2"/>
      </rPr>
      <t xml:space="preserve">SARR/SALR Ratio: </t>
    </r>
    <r>
      <rPr>
        <sz val="11"/>
        <rFont val="Arial"/>
        <family val="2"/>
      </rPr>
      <t xml:space="preserve"> Default data points for derivation of a SARR vs SALR</t>
    </r>
  </si>
  <si>
    <t xml:space="preserve">equation are provided for The denitrification and BOD removal stages.  They may be </t>
  </si>
  <si>
    <t>replaced by values from user data if such data is available.</t>
  </si>
  <si>
    <t>Adapted from Metcalf &amp; Eddy, 5th Ed, Fig 9-25</t>
  </si>
  <si>
    <t>4. Preliminary Calculations - Design Nitrification SALR value</t>
  </si>
  <si>
    <r>
      <t xml:space="preserve">    %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 removal =</t>
    </r>
  </si>
  <si>
    <t xml:space="preserve">     Maximum SARR =</t>
  </si>
  <si>
    <r>
      <t xml:space="preserve"> SARR Temp. Coeff, </t>
    </r>
    <r>
      <rPr>
        <b/>
        <sz val="11"/>
        <rFont val="Symbol"/>
        <family val="1"/>
        <charset val="2"/>
      </rPr>
      <t>q</t>
    </r>
    <r>
      <rPr>
        <sz val="10"/>
        <rFont val="Arial"/>
        <family val="2"/>
      </rPr>
      <t xml:space="preserve">  =</t>
    </r>
  </si>
  <si>
    <r>
      <t xml:space="preserve"> 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@ SARR</t>
    </r>
    <r>
      <rPr>
        <vertAlign val="subscript"/>
        <sz val="10"/>
        <rFont val="Arial"/>
        <family val="2"/>
      </rPr>
      <t>max</t>
    </r>
    <r>
      <rPr>
        <sz val="10"/>
        <rFont val="Arial"/>
        <family val="2"/>
      </rPr>
      <t xml:space="preserve"> =</t>
    </r>
  </si>
  <si>
    <r>
      <t>SARR @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-Ne, 15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C, </t>
    </r>
    <r>
      <rPr>
        <b/>
        <sz val="11"/>
        <rFont val="Arial"/>
        <family val="2"/>
      </rPr>
      <t>SARR</t>
    </r>
    <r>
      <rPr>
        <b/>
        <vertAlign val="subscript"/>
        <sz val="11"/>
        <rFont val="Arial"/>
        <family val="2"/>
      </rPr>
      <t>15</t>
    </r>
    <r>
      <rPr>
        <sz val="10"/>
        <rFont val="Arial"/>
        <family val="2"/>
      </rPr>
      <t xml:space="preserve">  =</t>
    </r>
  </si>
  <si>
    <r>
      <t>SARR @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-Ne, T 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 xml:space="preserve">C, </t>
    </r>
    <r>
      <rPr>
        <b/>
        <sz val="11"/>
        <rFont val="Arial"/>
        <family val="2"/>
      </rPr>
      <t>SARR</t>
    </r>
    <r>
      <rPr>
        <b/>
        <vertAlign val="subscript"/>
        <sz val="11"/>
        <rFont val="Arial"/>
        <family val="2"/>
      </rPr>
      <t>T</t>
    </r>
    <r>
      <rPr>
        <sz val="10"/>
        <rFont val="Arial"/>
        <family val="2"/>
      </rPr>
      <t xml:space="preserve">  =</t>
    </r>
  </si>
  <si>
    <r>
      <t xml:space="preserve">            Design Value for nitrification </t>
    </r>
    <r>
      <rPr>
        <b/>
        <sz val="11"/>
        <rFont val="Arial"/>
        <family val="2"/>
      </rPr>
      <t>SALR</t>
    </r>
    <r>
      <rPr>
        <sz val="10"/>
        <rFont val="Arial"/>
        <family val="2"/>
      </rPr>
      <t xml:space="preserve">  =</t>
    </r>
  </si>
  <si>
    <t>cell C108 to zero by changing the value in cell C100.</t>
  </si>
  <si>
    <r>
      <t>NOTE:  Use Excel's "Goal Seek" to find Q</t>
    </r>
    <r>
      <rPr>
        <b/>
        <vertAlign val="subscript"/>
        <sz val="11"/>
        <color indexed="12"/>
        <rFont val="Times New Roman"/>
        <family val="1"/>
      </rPr>
      <t>R</t>
    </r>
    <r>
      <rPr>
        <b/>
        <sz val="11"/>
        <color indexed="12"/>
        <rFont val="Times New Roman"/>
        <family val="1"/>
      </rPr>
      <t>/Q</t>
    </r>
    <r>
      <rPr>
        <b/>
        <vertAlign val="subscript"/>
        <sz val="11"/>
        <color indexed="12"/>
        <rFont val="Times New Roman"/>
        <family val="1"/>
      </rPr>
      <t>o</t>
    </r>
    <r>
      <rPr>
        <b/>
        <sz val="11"/>
        <color indexed="12"/>
        <rFont val="Times New Roman"/>
        <family val="1"/>
      </rPr>
      <t xml:space="preserve"> as follows:  Place the cursor on cell H73 and click on</t>
    </r>
  </si>
  <si>
    <t>versions of Excel).  Enter values to "Set cell:"  H73, "To value:"  0, "By changing cell:" c17, and</t>
  </si>
  <si>
    <r>
      <t>click on "OK".  The calculated value of Q</t>
    </r>
    <r>
      <rPr>
        <b/>
        <vertAlign val="subscript"/>
        <sz val="11"/>
        <color indexed="12"/>
        <rFont val="Times New Roman"/>
        <family val="1"/>
      </rPr>
      <t>R</t>
    </r>
    <r>
      <rPr>
        <b/>
        <sz val="11"/>
        <color indexed="12"/>
        <rFont val="Times New Roman"/>
        <family val="1"/>
      </rPr>
      <t>/Q</t>
    </r>
    <r>
      <rPr>
        <b/>
        <vertAlign val="subscript"/>
        <sz val="11"/>
        <color indexed="12"/>
        <rFont val="Times New Roman"/>
        <family val="1"/>
      </rPr>
      <t>o</t>
    </r>
    <r>
      <rPr>
        <b/>
        <sz val="11"/>
        <color indexed="12"/>
        <rFont val="Times New Roman"/>
        <family val="1"/>
      </rPr>
      <t xml:space="preserve"> will appear in cell C17 and cell H73 should equal zero</t>
    </r>
  </si>
  <si>
    <t>Excel's Goal Seek process to set cell c94 equal to zero by changing the value in cell C83.</t>
  </si>
  <si>
    <t>5. Preliminary Calculations - Design SALR value for Nitrification</t>
  </si>
  <si>
    <t>V. Calculation of Oxygen/Air/Blower Requirements - BOD Removal Stage</t>
  </si>
  <si>
    <r>
      <t>Inputs:</t>
    </r>
    <r>
      <rPr>
        <b/>
        <sz val="10"/>
        <rFont val="Arial"/>
        <family val="2"/>
      </rPr>
      <t xml:space="preserve">  (Values of "Rule of Thumb" Constants to be used in Calculations - See notes at right)</t>
    </r>
  </si>
  <si>
    <t>Calculations:</t>
  </si>
  <si>
    <r>
      <t>Std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transf effic, </t>
    </r>
    <r>
      <rPr>
        <b/>
        <sz val="11"/>
        <rFont val="Arial"/>
        <family val="2"/>
      </rPr>
      <t>SOTE</t>
    </r>
    <r>
      <rPr>
        <sz val="10"/>
        <rFont val="Arial"/>
        <family val="2"/>
      </rPr>
      <t xml:space="preserve"> =</t>
    </r>
  </si>
  <si>
    <r>
      <t xml:space="preserve">Des. Barom. Press., </t>
    </r>
    <r>
      <rPr>
        <b/>
        <sz val="11"/>
        <rFont val="Arial"/>
        <family val="2"/>
      </rPr>
      <t>P</t>
    </r>
    <r>
      <rPr>
        <b/>
        <vertAlign val="subscript"/>
        <sz val="11"/>
        <rFont val="Arial"/>
        <family val="2"/>
      </rPr>
      <t>atm</t>
    </r>
    <r>
      <rPr>
        <sz val="10"/>
        <rFont val="Arial"/>
        <family val="2"/>
      </rPr>
      <t xml:space="preserve"> =</t>
    </r>
  </si>
  <si>
    <t xml:space="preserve">  (from diffuser mfr or vendor)</t>
  </si>
  <si>
    <t xml:space="preserve">  (ambient pressue at site)</t>
  </si>
  <si>
    <r>
      <t xml:space="preserve">Diffuser Fouling Factor, </t>
    </r>
    <r>
      <rPr>
        <b/>
        <sz val="11"/>
        <rFont val="Arial"/>
        <family val="2"/>
      </rPr>
      <t>F</t>
    </r>
    <r>
      <rPr>
        <sz val="10"/>
        <rFont val="Arial"/>
        <family val="2"/>
      </rPr>
      <t xml:space="preserve"> =</t>
    </r>
  </si>
  <si>
    <t>Ratio of D.O. saturation in WW to that in clean</t>
  </si>
  <si>
    <t>Ratio of oxygen transfer rate in wastewater</t>
  </si>
  <si>
    <r>
      <t xml:space="preserve">  water at same T &amp; P, </t>
    </r>
    <r>
      <rPr>
        <b/>
        <sz val="11"/>
        <rFont val="Arial"/>
        <family val="2"/>
      </rPr>
      <t>B</t>
    </r>
    <r>
      <rPr>
        <sz val="10"/>
        <rFont val="Arial"/>
        <family val="2"/>
      </rPr>
      <t xml:space="preserve"> =</t>
    </r>
  </si>
  <si>
    <r>
      <t xml:space="preserve">  to that in clean water, </t>
    </r>
    <r>
      <rPr>
        <b/>
        <sz val="11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</si>
  <si>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Pressure drop across</t>
  </si>
  <si>
    <r>
      <t xml:space="preserve">   Depth of diffuser, </t>
    </r>
    <r>
      <rPr>
        <b/>
        <sz val="11"/>
        <rFont val="Arial"/>
        <family val="2"/>
      </rPr>
      <t>d</t>
    </r>
    <r>
      <rPr>
        <b/>
        <vertAlign val="subscript"/>
        <sz val="11"/>
        <rFont val="Arial"/>
        <family val="2"/>
      </rPr>
      <t>diff</t>
    </r>
    <r>
      <rPr>
        <b/>
        <sz val="11"/>
        <rFont val="Arial"/>
        <family val="2"/>
      </rPr>
      <t xml:space="preserve"> </t>
    </r>
    <r>
      <rPr>
        <sz val="10"/>
        <rFont val="Arial"/>
        <family val="2"/>
      </rPr>
      <t>=</t>
    </r>
  </si>
  <si>
    <t xml:space="preserve">    ft</t>
  </si>
  <si>
    <r>
      <t xml:space="preserve">              diffuser,</t>
    </r>
    <r>
      <rPr>
        <b/>
        <sz val="11"/>
        <rFont val="Arial"/>
        <family val="2"/>
      </rPr>
      <t xml:space="preserve"> </t>
    </r>
    <r>
      <rPr>
        <b/>
        <sz val="11"/>
        <rFont val="Symbol"/>
        <family val="1"/>
        <charset val="2"/>
      </rPr>
      <t>D</t>
    </r>
    <r>
      <rPr>
        <b/>
        <sz val="11"/>
        <rFont val="Arial"/>
        <family val="2"/>
      </rPr>
      <t>P</t>
    </r>
    <r>
      <rPr>
        <b/>
        <vertAlign val="subscript"/>
        <sz val="11"/>
        <rFont val="Arial"/>
        <family val="2"/>
      </rPr>
      <t>diff</t>
    </r>
    <r>
      <rPr>
        <sz val="10"/>
        <rFont val="Arial"/>
        <family val="2"/>
      </rPr>
      <t xml:space="preserve"> =</t>
    </r>
  </si>
  <si>
    <r>
      <t>in 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</si>
  <si>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 xml:space="preserve">   Std. Air Density, </t>
    </r>
    <r>
      <rPr>
        <b/>
        <sz val="11"/>
        <rFont val="Symbol"/>
        <family val="1"/>
        <charset val="2"/>
      </rPr>
      <t>r</t>
    </r>
    <r>
      <rPr>
        <b/>
        <vertAlign val="subscript"/>
        <sz val="11"/>
        <rFont val="Arial"/>
        <family val="2"/>
      </rPr>
      <t>air</t>
    </r>
    <r>
      <rPr>
        <sz val="10"/>
        <rFont val="Arial"/>
        <family val="2"/>
      </rPr>
      <t xml:space="preserve"> =</t>
    </r>
  </si>
  <si>
    <r>
      <t>lb/ft</t>
    </r>
    <r>
      <rPr>
        <vertAlign val="superscript"/>
        <sz val="10"/>
        <rFont val="Arial"/>
        <family val="2"/>
      </rPr>
      <t>3</t>
    </r>
  </si>
  <si>
    <t>VI. Calculation of Oxygen/Air/Blower Requirements - Nitrification Stage</t>
  </si>
  <si>
    <t>VII. Calculation of Alkalinity Requirements</t>
  </si>
  <si>
    <r>
      <t>Act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transf effic, A</t>
    </r>
    <r>
      <rPr>
        <b/>
        <sz val="11"/>
        <rFont val="Arial"/>
        <family val="2"/>
      </rPr>
      <t>OTE</t>
    </r>
    <r>
      <rPr>
        <sz val="10"/>
        <rFont val="Arial"/>
        <family val="2"/>
      </rPr>
      <t xml:space="preserve"> =</t>
    </r>
  </si>
  <si>
    <r>
      <t xml:space="preserve">Pressure at mid Depth, </t>
    </r>
    <r>
      <rPr>
        <b/>
        <sz val="11"/>
        <rFont val="Arial"/>
        <family val="2"/>
      </rPr>
      <t>P</t>
    </r>
    <r>
      <rPr>
        <b/>
        <vertAlign val="subscript"/>
        <sz val="11"/>
        <rFont val="Arial"/>
        <family val="2"/>
      </rPr>
      <t>D</t>
    </r>
    <r>
      <rPr>
        <sz val="10"/>
        <rFont val="Arial"/>
        <family val="2"/>
      </rPr>
      <t xml:space="preserve"> =</t>
    </r>
  </si>
  <si>
    <t>Des. Air Flow Rate, SCFM =</t>
  </si>
  <si>
    <t>D.O sat'n conc. for clean water at ww</t>
  </si>
  <si>
    <t>Des. Air Flow Rate, ACFM =</t>
  </si>
  <si>
    <t>ACFM</t>
  </si>
  <si>
    <r>
      <t xml:space="preserve">  temp. and 1 atm,  </t>
    </r>
    <r>
      <rPr>
        <b/>
        <sz val="11"/>
        <rFont val="Arial"/>
        <family val="2"/>
      </rPr>
      <t>C</t>
    </r>
    <r>
      <rPr>
        <b/>
        <vertAlign val="subscript"/>
        <sz val="11"/>
        <rFont val="Arial"/>
        <family val="2"/>
      </rPr>
      <t>s</t>
    </r>
    <r>
      <rPr>
        <sz val="10"/>
        <rFont val="Arial"/>
        <family val="2"/>
      </rPr>
      <t xml:space="preserve">  =</t>
    </r>
  </si>
  <si>
    <r>
      <t xml:space="preserve">     Blower Outlet Pressure,</t>
    </r>
    <r>
      <rPr>
        <b/>
        <sz val="10"/>
        <rFont val="Arial"/>
        <family val="2"/>
      </rPr>
      <t xml:space="preserve"> </t>
    </r>
    <r>
      <rPr>
        <b/>
        <sz val="11"/>
        <rFont val="Arial"/>
        <family val="2"/>
      </rPr>
      <t>P</t>
    </r>
    <r>
      <rPr>
        <b/>
        <vertAlign val="subscript"/>
        <sz val="11"/>
        <rFont val="Arial"/>
        <family val="2"/>
      </rPr>
      <t>B2</t>
    </r>
    <r>
      <rPr>
        <sz val="10"/>
        <rFont val="Arial"/>
        <family val="2"/>
      </rPr>
      <t xml:space="preserve"> =</t>
    </r>
  </si>
  <si>
    <r>
      <t xml:space="preserve">  AOTE = SOTE*</t>
    </r>
    <r>
      <rPr>
        <b/>
        <sz val="11"/>
        <rFont val="Symbol"/>
        <family val="1"/>
        <charset val="2"/>
      </rPr>
      <t>a</t>
    </r>
    <r>
      <rPr>
        <b/>
        <sz val="11"/>
        <rFont val="Calibri"/>
        <family val="2"/>
      </rPr>
      <t>*F[(B(P</t>
    </r>
    <r>
      <rPr>
        <b/>
        <vertAlign val="subscript"/>
        <sz val="11"/>
        <rFont val="Calibri"/>
        <family val="2"/>
      </rPr>
      <t>D</t>
    </r>
    <r>
      <rPr>
        <b/>
        <sz val="11"/>
        <rFont val="Calibri"/>
        <family val="2"/>
      </rPr>
      <t>/P</t>
    </r>
    <r>
      <rPr>
        <b/>
        <vertAlign val="subscript"/>
        <sz val="11"/>
        <rFont val="Calibri"/>
        <family val="2"/>
      </rPr>
      <t>std</t>
    </r>
    <r>
      <rPr>
        <b/>
        <sz val="11"/>
        <rFont val="Calibri"/>
        <family val="2"/>
      </rPr>
      <t>)C</t>
    </r>
    <r>
      <rPr>
        <b/>
        <vertAlign val="subscript"/>
        <sz val="11"/>
        <rFont val="Calibri"/>
        <family val="2"/>
      </rPr>
      <t>s</t>
    </r>
    <r>
      <rPr>
        <b/>
        <sz val="11"/>
        <rFont val="Calibri"/>
        <family val="2"/>
      </rPr>
      <t xml:space="preserve"> - D.O.)/C</t>
    </r>
    <r>
      <rPr>
        <b/>
        <vertAlign val="subscript"/>
        <sz val="11"/>
        <rFont val="Calibri"/>
        <family val="2"/>
      </rPr>
      <t>ss</t>
    </r>
    <r>
      <rPr>
        <b/>
        <sz val="11"/>
        <rFont val="Calibri"/>
        <family val="2"/>
      </rPr>
      <t>]</t>
    </r>
    <r>
      <rPr>
        <b/>
        <sz val="11"/>
        <rFont val="Symbol"/>
        <family val="1"/>
        <charset val="2"/>
      </rPr>
      <t>q</t>
    </r>
    <r>
      <rPr>
        <b/>
        <vertAlign val="superscript"/>
        <sz val="11"/>
        <rFont val="Calibri"/>
        <family val="2"/>
      </rPr>
      <t>(tww - 20)</t>
    </r>
  </si>
  <si>
    <t xml:space="preserve">  (Derivation of equation for sat'n D.O. vs T is shown on worksheet 4)</t>
  </si>
  <si>
    <t>Derivation of Equation for Saturation DO Concentration at WW Temperature:</t>
  </si>
  <si>
    <t>Sat'n DO</t>
  </si>
  <si>
    <r>
      <t xml:space="preserve">T, </t>
    </r>
    <r>
      <rPr>
        <u/>
        <vertAlign val="superscript"/>
        <sz val="10"/>
        <rFont val="Arial"/>
        <family val="2"/>
      </rPr>
      <t>o</t>
    </r>
    <r>
      <rPr>
        <u/>
        <sz val="10"/>
        <rFont val="Arial"/>
        <family val="2"/>
      </rPr>
      <t>F</t>
    </r>
  </si>
  <si>
    <t xml:space="preserve">             Source for DO vs T data:    USGS website at:</t>
  </si>
  <si>
    <t>http://water.usgs.gov/software/DOTABLES/</t>
  </si>
  <si>
    <t xml:space="preserve">    Equations used for Oxygen/Air/Blower Calculations</t>
  </si>
  <si>
    <r>
      <t xml:space="preserve">   Oxygen Requirement (lb/day)</t>
    </r>
    <r>
      <rPr>
        <b/>
        <sz val="11"/>
        <rFont val="Calibri"/>
        <family val="2"/>
      </rPr>
      <t xml:space="preserve"> = Q</t>
    </r>
    <r>
      <rPr>
        <b/>
        <vertAlign val="subscript"/>
        <sz val="11"/>
        <rFont val="Calibri"/>
        <family val="2"/>
      </rPr>
      <t>o</t>
    </r>
    <r>
      <rPr>
        <b/>
        <sz val="11"/>
        <rFont val="Calibri"/>
        <family val="2"/>
      </rPr>
      <t>(4.57(NH</t>
    </r>
    <r>
      <rPr>
        <b/>
        <vertAlign val="subscript"/>
        <sz val="11"/>
        <rFont val="Calibri"/>
        <family val="2"/>
      </rPr>
      <t>4</t>
    </r>
    <r>
      <rPr>
        <b/>
        <sz val="11"/>
        <rFont val="Calibri"/>
        <family val="2"/>
      </rPr>
      <t>-N</t>
    </r>
    <r>
      <rPr>
        <b/>
        <vertAlign val="subscript"/>
        <sz val="11"/>
        <rFont val="Calibri"/>
        <family val="2"/>
      </rPr>
      <t>o</t>
    </r>
    <r>
      <rPr>
        <b/>
        <sz val="11"/>
        <rFont val="Calibri"/>
        <family val="2"/>
      </rPr>
      <t xml:space="preserve"> - NH</t>
    </r>
    <r>
      <rPr>
        <b/>
        <vertAlign val="subscript"/>
        <sz val="11"/>
        <rFont val="Calibri"/>
        <family val="2"/>
      </rPr>
      <t>4</t>
    </r>
    <r>
      <rPr>
        <b/>
        <sz val="11"/>
        <rFont val="Calibri"/>
        <family val="2"/>
      </rPr>
      <t>-N</t>
    </r>
    <r>
      <rPr>
        <b/>
        <vertAlign val="subscript"/>
        <sz val="11"/>
        <rFont val="Calibri"/>
        <family val="2"/>
      </rPr>
      <t>e</t>
    </r>
    <r>
      <rPr>
        <b/>
        <sz val="11"/>
        <rFont val="Calibri"/>
        <family val="2"/>
      </rPr>
      <t>)*[(mg/L)/(lb/MG)]</t>
    </r>
  </si>
  <si>
    <r>
      <t xml:space="preserve">   Pressure at Mid-Depth</t>
    </r>
    <r>
      <rPr>
        <b/>
        <sz val="11"/>
        <rFont val="Calibri"/>
        <family val="2"/>
      </rPr>
      <t xml:space="preserve"> = P</t>
    </r>
    <r>
      <rPr>
        <b/>
        <vertAlign val="subscript"/>
        <sz val="11"/>
        <rFont val="Calibri"/>
        <family val="2"/>
      </rPr>
      <t>atm</t>
    </r>
    <r>
      <rPr>
        <b/>
        <sz val="11"/>
        <rFont val="Calibri"/>
        <family val="2"/>
      </rPr>
      <t xml:space="preserve">  +  [</t>
    </r>
    <r>
      <rPr>
        <b/>
        <sz val="11"/>
        <rFont val="Symbol"/>
        <family val="1"/>
        <charset val="2"/>
      </rPr>
      <t>g</t>
    </r>
    <r>
      <rPr>
        <b/>
        <vertAlign val="subscript"/>
        <sz val="11"/>
        <rFont val="Calibri"/>
        <family val="2"/>
      </rPr>
      <t>4H2O(</t>
    </r>
    <r>
      <rPr>
        <b/>
        <sz val="11"/>
        <rFont val="Calibri"/>
        <family val="2"/>
      </rPr>
      <t>d</t>
    </r>
    <r>
      <rPr>
        <b/>
        <vertAlign val="subscript"/>
        <sz val="11"/>
        <rFont val="Calibri"/>
        <family val="2"/>
      </rPr>
      <t>diff</t>
    </r>
    <r>
      <rPr>
        <b/>
        <sz val="11"/>
        <rFont val="Calibri"/>
        <family val="2"/>
      </rPr>
      <t>/2)]/144 in</t>
    </r>
    <r>
      <rPr>
        <b/>
        <vertAlign val="superscript"/>
        <sz val="11"/>
        <rFont val="Calibri"/>
        <family val="2"/>
      </rPr>
      <t>2</t>
    </r>
    <r>
      <rPr>
        <b/>
        <sz val="11"/>
        <rFont val="Calibri"/>
        <family val="2"/>
      </rPr>
      <t>/ft</t>
    </r>
    <r>
      <rPr>
        <b/>
        <vertAlign val="superscript"/>
        <sz val="11"/>
        <rFont val="Calibri"/>
        <family val="2"/>
      </rPr>
      <t>2</t>
    </r>
  </si>
  <si>
    <r>
      <t xml:space="preserve">(Tww in 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C)</t>
    </r>
  </si>
  <si>
    <r>
      <t xml:space="preserve">  </t>
    </r>
    <r>
      <rPr>
        <b/>
        <sz val="11"/>
        <rFont val="Calibri"/>
        <family val="2"/>
      </rPr>
      <t>SCFM = (lb/day 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/AOTE)*MW</t>
    </r>
    <r>
      <rPr>
        <b/>
        <vertAlign val="subscript"/>
        <sz val="11"/>
        <rFont val="Calibri"/>
        <family val="2"/>
      </rPr>
      <t>air</t>
    </r>
    <r>
      <rPr>
        <b/>
        <sz val="11"/>
        <rFont val="Calibri"/>
        <family val="2"/>
      </rPr>
      <t>/[O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 fract in air)(MW</t>
    </r>
    <r>
      <rPr>
        <b/>
        <vertAlign val="subscript"/>
        <sz val="11"/>
        <rFont val="Calibri"/>
        <family val="2"/>
      </rPr>
      <t>O2</t>
    </r>
    <r>
      <rPr>
        <b/>
        <sz val="11"/>
        <rFont val="Calibri"/>
        <family val="2"/>
      </rPr>
      <t>)(r</t>
    </r>
    <r>
      <rPr>
        <b/>
        <vertAlign val="subscript"/>
        <sz val="11"/>
        <rFont val="Calibri"/>
        <family val="2"/>
      </rPr>
      <t>air</t>
    </r>
    <r>
      <rPr>
        <b/>
        <sz val="11"/>
        <rFont val="Calibri"/>
        <family val="2"/>
      </rPr>
      <t>)(60 min/hr)(24 hr/day)]</t>
    </r>
  </si>
  <si>
    <r>
      <t xml:space="preserve">  </t>
    </r>
    <r>
      <rPr>
        <b/>
        <sz val="11"/>
        <rFont val="Calibri"/>
        <family val="2"/>
      </rPr>
      <t>ACFM = SCFM[(T</t>
    </r>
    <r>
      <rPr>
        <b/>
        <vertAlign val="subscript"/>
        <sz val="11"/>
        <rFont val="Calibri"/>
        <family val="2"/>
      </rPr>
      <t>ww</t>
    </r>
    <r>
      <rPr>
        <b/>
        <sz val="11"/>
        <rFont val="Calibri"/>
        <family val="2"/>
      </rPr>
      <t xml:space="preserve"> + 459.67)/(T</t>
    </r>
    <r>
      <rPr>
        <b/>
        <vertAlign val="subscript"/>
        <sz val="11"/>
        <rFont val="Calibri"/>
        <family val="2"/>
      </rPr>
      <t>std</t>
    </r>
    <r>
      <rPr>
        <b/>
        <sz val="11"/>
        <rFont val="Calibri"/>
        <family val="2"/>
      </rPr>
      <t xml:space="preserve"> + 459.67)](P</t>
    </r>
    <r>
      <rPr>
        <b/>
        <vertAlign val="subscript"/>
        <sz val="11"/>
        <rFont val="Calibri"/>
        <family val="2"/>
      </rPr>
      <t>std</t>
    </r>
    <r>
      <rPr>
        <b/>
        <sz val="11"/>
        <rFont val="Calibri"/>
        <family val="2"/>
      </rPr>
      <t>/P</t>
    </r>
    <r>
      <rPr>
        <b/>
        <vertAlign val="subscript"/>
        <sz val="11"/>
        <rFont val="Calibri"/>
        <family val="2"/>
      </rPr>
      <t>B2</t>
    </r>
    <r>
      <rPr>
        <b/>
        <sz val="11"/>
        <rFont val="Calibri"/>
        <family val="2"/>
      </rPr>
      <t>)</t>
    </r>
  </si>
  <si>
    <r>
      <t xml:space="preserve">  </t>
    </r>
    <r>
      <rPr>
        <b/>
        <sz val="11"/>
        <rFont val="Calibri"/>
        <family val="2"/>
      </rPr>
      <t>P</t>
    </r>
    <r>
      <rPr>
        <b/>
        <vertAlign val="subscript"/>
        <sz val="11"/>
        <rFont val="Calibri"/>
        <family val="2"/>
      </rPr>
      <t>B2</t>
    </r>
    <r>
      <rPr>
        <b/>
        <sz val="11"/>
        <rFont val="Calibri"/>
        <family val="2"/>
      </rPr>
      <t xml:space="preserve"> = P</t>
    </r>
    <r>
      <rPr>
        <b/>
        <vertAlign val="subscript"/>
        <sz val="11"/>
        <rFont val="Calibri"/>
        <family val="2"/>
      </rPr>
      <t>atm</t>
    </r>
    <r>
      <rPr>
        <b/>
        <sz val="11"/>
        <rFont val="Calibri"/>
        <family val="2"/>
      </rPr>
      <t xml:space="preserve"> + </t>
    </r>
    <r>
      <rPr>
        <b/>
        <sz val="11"/>
        <rFont val="Symbol"/>
        <family val="1"/>
        <charset val="2"/>
      </rPr>
      <t>D</t>
    </r>
    <r>
      <rPr>
        <b/>
        <sz val="11"/>
        <rFont val="Calibri"/>
        <family val="2"/>
      </rPr>
      <t>P</t>
    </r>
    <r>
      <rPr>
        <b/>
        <vertAlign val="subscript"/>
        <sz val="11"/>
        <rFont val="Calibri"/>
        <family val="2"/>
      </rPr>
      <t>diff</t>
    </r>
    <r>
      <rPr>
        <b/>
        <sz val="11"/>
        <rFont val="Calibri"/>
        <family val="2"/>
      </rPr>
      <t>(0.036126 psi/in H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 xml:space="preserve">O) + </t>
    </r>
    <r>
      <rPr>
        <b/>
        <sz val="11"/>
        <rFont val="Symbol"/>
        <family val="1"/>
        <charset val="2"/>
      </rPr>
      <t>g</t>
    </r>
    <r>
      <rPr>
        <b/>
        <vertAlign val="subscript"/>
        <sz val="11"/>
        <rFont val="Calibri"/>
        <family val="2"/>
      </rPr>
      <t>H2O</t>
    </r>
    <r>
      <rPr>
        <b/>
        <sz val="11"/>
        <rFont val="Calibri"/>
        <family val="2"/>
      </rPr>
      <t>*d</t>
    </r>
    <r>
      <rPr>
        <b/>
        <vertAlign val="subscript"/>
        <sz val="11"/>
        <rFont val="Calibri"/>
        <family val="2"/>
      </rPr>
      <t>diff</t>
    </r>
    <r>
      <rPr>
        <b/>
        <sz val="11"/>
        <rFont val="Calibri"/>
        <family val="2"/>
      </rPr>
      <t>/144 in</t>
    </r>
    <r>
      <rPr>
        <b/>
        <vertAlign val="superscript"/>
        <sz val="11"/>
        <rFont val="Calibri"/>
        <family val="2"/>
      </rPr>
      <t>2</t>
    </r>
    <r>
      <rPr>
        <b/>
        <sz val="11"/>
        <rFont val="Calibri"/>
        <family val="2"/>
      </rPr>
      <t>/ft</t>
    </r>
    <r>
      <rPr>
        <b/>
        <vertAlign val="superscript"/>
        <sz val="11"/>
        <rFont val="Calibri"/>
        <family val="2"/>
      </rPr>
      <t>2</t>
    </r>
  </si>
  <si>
    <t xml:space="preserve">    Nitrification in Moving-Bed Biofilm Reactors," Water Res.,  40,  15,  298-2993.</t>
  </si>
  <si>
    <t>Spreadsheets for MBBR Process Design Calculations,</t>
  </si>
  <si>
    <t>available as a paperback book and as an Amazon Kindle ebook.</t>
  </si>
  <si>
    <r>
      <t xml:space="preserve">9. Bengtson, Harlan H., </t>
    </r>
    <r>
      <rPr>
        <i/>
        <sz val="10"/>
        <rFont val="Arial"/>
        <family val="2"/>
      </rPr>
      <t/>
    </r>
  </si>
  <si>
    <t>Biological Wastewater Treatment Process Design Calculations</t>
  </si>
  <si>
    <t>7. Metcalf &amp; Eddy, "Wastewater Engineering Treatment and Resource Recovery", 5th Ed, McGraw-Hill, 2014</t>
  </si>
  <si>
    <t>8. Salvetti, R., A. Azzellino, R. Canziani, and L. Bonomo (2006), "Effect of Temperature on Tertiary</t>
  </si>
  <si>
    <r>
      <t xml:space="preserve">10. Bengtson, Harlan H., </t>
    </r>
    <r>
      <rPr>
        <i/>
        <sz val="10"/>
        <rFont val="Arial"/>
        <family val="2"/>
      </rPr>
      <t/>
    </r>
  </si>
  <si>
    <r>
      <t xml:space="preserve">11. Bengtson, Harlan H., </t>
    </r>
    <r>
      <rPr>
        <i/>
        <sz val="10"/>
        <rFont val="Arial"/>
        <family val="2"/>
      </rPr>
      <t/>
    </r>
  </si>
  <si>
    <t>an Amazon Kindle ebook.</t>
  </si>
  <si>
    <t>Spreadsheets for MBBR Denitrification Design Calculations,</t>
  </si>
  <si>
    <t>5. Parameters for Third (Post-Anoxic) Stage:</t>
  </si>
  <si>
    <t>Basin sizing is based on a carrier surface area loading rate (SALR).  For BOD removal and</t>
  </si>
  <si>
    <t xml:space="preserve">denitrification, the design SALR value is selected by the user based on the treatment </t>
  </si>
  <si>
    <t>objective, (e.g. high rate BOD removal, normal rate BOD removal, or low rate BOD removal.</t>
  </si>
  <si>
    <t xml:space="preserve">Typical SALR values are provided on the worksheets.  For nitrification, the design SALR is </t>
  </si>
  <si>
    <t>and the target effluent ammonia nitrogen concentration.</t>
  </si>
  <si>
    <t>calculated from a kinetic model based on the D.O. level to be maintained in the reactor</t>
  </si>
  <si>
    <t>Note that the estimated effluent concentration for BOD, or nitrate nitrogen from each</t>
  </si>
  <si>
    <t xml:space="preserve">BOD removal or denitrification stage is calculated by using an estimated value for the </t>
  </si>
  <si>
    <t>SARR/SALR (surface area removal rate/surface area loading rate).  The estimated value</t>
  </si>
  <si>
    <t>as shown on the worksheets.</t>
  </si>
  <si>
    <t xml:space="preserve">for the SARR/SALR is based on an appropriate graph or table from one of the references </t>
  </si>
  <si>
    <t>C83 equal to zero by changing the value in cell C76.</t>
  </si>
  <si>
    <t>cell C101 equal to zero by changing the value in cell C90.</t>
  </si>
  <si>
    <r>
      <t xml:space="preserve">      SARR temperature correction coefficients being used are: </t>
    </r>
    <r>
      <rPr>
        <b/>
        <sz val="11"/>
        <rFont val="Arial"/>
        <family val="2"/>
      </rPr>
      <t xml:space="preserve"> </t>
    </r>
    <r>
      <rPr>
        <b/>
        <sz val="11"/>
        <rFont val="Symbol"/>
        <family val="1"/>
        <charset val="2"/>
      </rPr>
      <t>q</t>
    </r>
    <r>
      <rPr>
        <sz val="10"/>
        <rFont val="Arial"/>
        <family val="2"/>
      </rPr>
      <t xml:space="preserve"> = 1.058 for DO limited </t>
    </r>
  </si>
  <si>
    <r>
      <t xml:space="preserve">conditions and </t>
    </r>
    <r>
      <rPr>
        <b/>
        <sz val="11"/>
        <rFont val="Symbol"/>
        <family val="1"/>
        <charset val="2"/>
      </rPr>
      <t>q</t>
    </r>
    <r>
      <rPr>
        <b/>
        <sz val="11"/>
        <rFont val="Arial"/>
        <family val="2"/>
      </rPr>
      <t xml:space="preserve"> </t>
    </r>
    <r>
      <rPr>
        <sz val="10"/>
        <rFont val="Arial"/>
        <family val="2"/>
      </rPr>
      <t>= 1.098 for ammonia limited conditions.  (per Salvetti et al - see ref list below)</t>
    </r>
  </si>
  <si>
    <t>SARR temperature adjustments are made with:</t>
  </si>
  <si>
    <r>
      <t>SARR</t>
    </r>
    <r>
      <rPr>
        <b/>
        <vertAlign val="subscript"/>
        <sz val="11"/>
        <rFont val="Arial"/>
        <family val="2"/>
      </rPr>
      <t>T</t>
    </r>
    <r>
      <rPr>
        <b/>
        <sz val="11"/>
        <rFont val="Arial"/>
        <family val="2"/>
      </rPr>
      <t xml:space="preserve"> = SARR</t>
    </r>
    <r>
      <rPr>
        <b/>
        <vertAlign val="subscript"/>
        <sz val="11"/>
        <rFont val="Arial"/>
        <family val="2"/>
      </rPr>
      <t>15</t>
    </r>
    <r>
      <rPr>
        <b/>
        <sz val="11"/>
        <rFont val="Symbol"/>
        <family val="1"/>
        <charset val="2"/>
      </rPr>
      <t>q</t>
    </r>
    <r>
      <rPr>
        <b/>
        <vertAlign val="superscript"/>
        <sz val="11"/>
        <rFont val="Arial"/>
        <family val="2"/>
      </rPr>
      <t>(T - 15)</t>
    </r>
  </si>
  <si>
    <t xml:space="preserve">  (or 0.33 for a fine bubble aeration system)</t>
  </si>
  <si>
    <t>(or 2.0 % per foot of diffuser submergence for a fine bubble system)</t>
  </si>
  <si>
    <t xml:space="preserve">       Est. of Effl BOD Conc.:</t>
  </si>
  <si>
    <r>
      <t xml:space="preserve">  If the calculated Effl. BOD</t>
    </r>
    <r>
      <rPr>
        <b/>
        <sz val="10"/>
        <color indexed="36"/>
        <rFont val="Arial"/>
        <family val="2"/>
      </rPr>
      <t xml:space="preserve"> conc. Is</t>
    </r>
    <r>
      <rPr>
        <b/>
        <sz val="10"/>
        <color rgb="FF7030A0"/>
        <rFont val="Arial"/>
        <family val="2"/>
      </rPr>
      <t xml:space="preserve"> too high, the</t>
    </r>
  </si>
  <si>
    <t xml:space="preserve">   design value of SALR (in cell C28) should be reduced.</t>
  </si>
  <si>
    <t xml:space="preserve">           1st stage tank volume - 2nd stage tank volume =</t>
  </si>
  <si>
    <t>(for second stage)</t>
  </si>
  <si>
    <t xml:space="preserve">          Estimated - Calculated Effl BOD Conc. =</t>
  </si>
  <si>
    <r>
      <t>NOTE:  Use Excel's "Goal Seek" to find BOD</t>
    </r>
    <r>
      <rPr>
        <b/>
        <vertAlign val="subscript"/>
        <sz val="11"/>
        <color indexed="12"/>
        <rFont val="Times New Roman"/>
        <family val="1"/>
      </rPr>
      <t>e</t>
    </r>
    <r>
      <rPr>
        <b/>
        <sz val="11"/>
        <color indexed="12"/>
        <rFont val="Times New Roman"/>
        <family val="1"/>
      </rPr>
      <t xml:space="preserve"> as follows:  Place the cursor on cell H93 and click on</t>
    </r>
  </si>
  <si>
    <r>
      <t>if the process worked properly.  Note that an initial estimate of BOD</t>
    </r>
    <r>
      <rPr>
        <b/>
        <vertAlign val="subscript"/>
        <sz val="11"/>
        <color indexed="12"/>
        <rFont val="Times New Roman"/>
        <family val="1"/>
      </rPr>
      <t>e</t>
    </r>
    <r>
      <rPr>
        <b/>
        <sz val="11"/>
        <color indexed="12"/>
        <rFont val="Times New Roman"/>
        <family val="1"/>
      </rPr>
      <t xml:space="preserve"> is needed in cell H82 to start</t>
    </r>
  </si>
  <si>
    <t>versions of Excel).  Enter values to "Set cell:"  H93, "To value:"  0, "By changing cell:" H81, and</t>
  </si>
  <si>
    <r>
      <t>click on "OK".  The calculated value of BOD</t>
    </r>
    <r>
      <rPr>
        <b/>
        <vertAlign val="subscript"/>
        <sz val="11"/>
        <color indexed="12"/>
        <rFont val="Times New Roman"/>
        <family val="1"/>
      </rPr>
      <t>e</t>
    </r>
    <r>
      <rPr>
        <b/>
        <sz val="11"/>
        <color indexed="12"/>
        <rFont val="Times New Roman"/>
        <family val="1"/>
      </rPr>
      <t xml:space="preserve"> will appear in cell H81 and cell H93 should equal zero</t>
    </r>
  </si>
  <si>
    <r>
      <t xml:space="preserve">   NH</t>
    </r>
    <r>
      <rPr>
        <b/>
        <vertAlign val="subscript"/>
        <sz val="11"/>
        <rFont val="Calibri"/>
        <family val="2"/>
      </rPr>
      <t>3</t>
    </r>
    <r>
      <rPr>
        <b/>
        <sz val="11"/>
        <rFont val="Calibri"/>
        <family val="2"/>
      </rPr>
      <t>-N Daily Loading = Q</t>
    </r>
    <r>
      <rPr>
        <b/>
        <vertAlign val="subscript"/>
        <sz val="11"/>
        <rFont val="Calibri"/>
        <family val="2"/>
      </rPr>
      <t>o</t>
    </r>
    <r>
      <rPr>
        <b/>
        <sz val="11"/>
        <rFont val="Calibri"/>
        <family val="2"/>
      </rPr>
      <t>*Prim Effl NH</t>
    </r>
    <r>
      <rPr>
        <b/>
        <vertAlign val="subscript"/>
        <sz val="11"/>
        <rFont val="Calibri"/>
        <family val="2"/>
      </rPr>
      <t>3</t>
    </r>
    <r>
      <rPr>
        <b/>
        <sz val="11"/>
        <rFont val="Calibri"/>
        <family val="2"/>
      </rPr>
      <t>-N</t>
    </r>
    <r>
      <rPr>
        <b/>
        <sz val="11"/>
        <rFont val="Calibri"/>
        <family val="2"/>
        <scheme val="minor"/>
      </rPr>
      <t xml:space="preserve"> + Qo*Recycle Ratio*Effl NH3-N</t>
    </r>
  </si>
  <si>
    <r>
      <t xml:space="preserve">   NH</t>
    </r>
    <r>
      <rPr>
        <b/>
        <vertAlign val="subscript"/>
        <sz val="11"/>
        <rFont val="Calibri"/>
        <family val="2"/>
      </rPr>
      <t>3</t>
    </r>
    <r>
      <rPr>
        <b/>
        <sz val="11"/>
        <rFont val="Calibri"/>
        <family val="2"/>
      </rPr>
      <t>-N Daily Loading = Q</t>
    </r>
    <r>
      <rPr>
        <b/>
        <vertAlign val="subscript"/>
        <sz val="11"/>
        <rFont val="Calibri"/>
        <family val="2"/>
      </rPr>
      <t>o</t>
    </r>
    <r>
      <rPr>
        <b/>
        <sz val="11"/>
        <rFont val="Calibri"/>
        <family val="2"/>
      </rPr>
      <t>*Prim Effl NH</t>
    </r>
    <r>
      <rPr>
        <b/>
        <vertAlign val="subscript"/>
        <sz val="11"/>
        <rFont val="Calibri"/>
        <family val="2"/>
      </rPr>
      <t>3</t>
    </r>
    <r>
      <rPr>
        <b/>
        <sz val="11"/>
        <rFont val="Calibri"/>
        <family val="2"/>
      </rPr>
      <t>-N*8.34</t>
    </r>
    <r>
      <rPr>
        <b/>
        <sz val="11"/>
        <rFont val="Calibri"/>
        <family val="2"/>
        <scheme val="minor"/>
      </rPr>
      <t xml:space="preserve">  +  Q</t>
    </r>
    <r>
      <rPr>
        <b/>
        <vertAlign val="sub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>*Recycle Ratio*Effl NH3-N*8.34</t>
    </r>
  </si>
  <si>
    <r>
      <t xml:space="preserve">   BOD Daily Loading = (Q</t>
    </r>
    <r>
      <rPr>
        <b/>
        <vertAlign val="subscript"/>
        <sz val="11"/>
        <color indexed="8"/>
        <rFont val="Calibri"/>
        <family val="2"/>
      </rPr>
      <t>o</t>
    </r>
    <r>
      <rPr>
        <b/>
        <sz val="11"/>
        <color indexed="8"/>
        <rFont val="Calibri"/>
        <family val="2"/>
      </rPr>
      <t>*S</t>
    </r>
    <r>
      <rPr>
        <b/>
        <vertAlign val="subscript"/>
        <sz val="11"/>
        <color indexed="8"/>
        <rFont val="Calibri"/>
        <family val="2"/>
      </rPr>
      <t>o</t>
    </r>
    <r>
      <rPr>
        <b/>
        <sz val="11"/>
        <color indexed="8"/>
        <rFont val="Calibri"/>
        <family val="2"/>
      </rPr>
      <t>*8.34) + (Q</t>
    </r>
    <r>
      <rPr>
        <b/>
        <vertAlign val="subscript"/>
        <sz val="11"/>
        <color rgb="FF000000"/>
        <rFont val="Calibri"/>
        <family val="2"/>
      </rPr>
      <t>o</t>
    </r>
    <r>
      <rPr>
        <b/>
        <sz val="11"/>
        <color indexed="8"/>
        <rFont val="Calibri"/>
        <family val="2"/>
      </rPr>
      <t>*Recycle Ratio*8.34*S</t>
    </r>
    <r>
      <rPr>
        <b/>
        <vertAlign val="subscript"/>
        <sz val="11"/>
        <color rgb="FF000000"/>
        <rFont val="Calibri"/>
        <family val="2"/>
      </rPr>
      <t>e</t>
    </r>
    <r>
      <rPr>
        <b/>
        <sz val="11"/>
        <color indexed="8"/>
        <rFont val="Calibri"/>
        <family val="2"/>
      </rPr>
      <t>) - (0.67*(20/7)*NO</t>
    </r>
    <r>
      <rPr>
        <b/>
        <vertAlign val="subscript"/>
        <sz val="11"/>
        <color indexed="8"/>
        <rFont val="Calibri"/>
        <family val="2"/>
      </rPr>
      <t>3</t>
    </r>
    <r>
      <rPr>
        <b/>
        <sz val="11"/>
        <color indexed="8"/>
        <rFont val="Calibri"/>
        <family val="2"/>
      </rPr>
      <t>-N removal rate)</t>
    </r>
  </si>
  <si>
    <t>in Metcalf &amp; Eddy, Wastewater Engineering, Treatment and Resource Recovery, 5th Ed.</t>
  </si>
  <si>
    <r>
      <t xml:space="preserve">      The N values at SARR</t>
    </r>
    <r>
      <rPr>
        <vertAlign val="subscript"/>
        <sz val="10"/>
        <rFont val="Arial"/>
        <family val="2"/>
      </rPr>
      <t>max</t>
    </r>
    <r>
      <rPr>
        <sz val="10"/>
        <rFont val="Arial"/>
        <family val="2"/>
      </rPr>
      <t xml:space="preserve"> were read from Figure 9-25 (or Odegaard, 1999). </t>
    </r>
  </si>
  <si>
    <r>
      <t>The SARR</t>
    </r>
    <r>
      <rPr>
        <vertAlign val="subscript"/>
        <sz val="10"/>
        <rFont val="Arial"/>
        <family val="2"/>
      </rPr>
      <t>max</t>
    </r>
    <r>
      <rPr>
        <sz val="10"/>
        <rFont val="Arial"/>
        <family val="2"/>
      </rPr>
      <t xml:space="preserve"> values were calculated for those N values using Eqn 9-48 from Metcalf &amp; Eddy,</t>
    </r>
  </si>
  <si>
    <r>
      <t xml:space="preserve">5th Ed:   </t>
    </r>
    <r>
      <rPr>
        <b/>
        <sz val="10"/>
        <rFont val="Arial"/>
        <family val="2"/>
      </rPr>
      <t>SARR =  [N/(2.2 + N)]*3.3</t>
    </r>
    <r>
      <rPr>
        <sz val="10"/>
        <rFont val="Arial"/>
        <family val="2"/>
      </rPr>
      <t>,  where</t>
    </r>
    <r>
      <rPr>
        <b/>
        <sz val="10"/>
        <rFont val="Arial"/>
        <family val="2"/>
      </rPr>
      <t xml:space="preserve"> N</t>
    </r>
    <r>
      <rPr>
        <sz val="10"/>
        <rFont val="Arial"/>
        <family val="2"/>
      </rPr>
      <t xml:space="preserve"> is the bulk liquid (effluent)</t>
    </r>
  </si>
  <si>
    <t>Copyright © 2021 Harlan H. Bengtson. All Rights Reserved.</t>
  </si>
  <si>
    <r>
      <t xml:space="preserve"> 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@ SARR</t>
    </r>
    <r>
      <rPr>
        <vertAlign val="subscript"/>
        <sz val="10"/>
        <rFont val="Arial"/>
        <family val="2"/>
      </rPr>
      <t>max</t>
    </r>
    <r>
      <rPr>
        <sz val="10"/>
        <rFont val="Arial"/>
        <family val="2"/>
      </rPr>
      <t xml:space="preserve"> = 0.0191*(D.O.)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+ 0.1287(D.O.) + 0.1921</t>
    </r>
  </si>
  <si>
    <r>
      <t>Tab 5</t>
    </r>
    <r>
      <rPr>
        <sz val="12"/>
        <rFont val="Arial"/>
        <family val="2"/>
      </rPr>
      <t>. Derivation of Saturation DO vs T Equation</t>
    </r>
  </si>
  <si>
    <t>The values in the table above for D.O. = 2  mg/L to 6 mg/Lcome from Figure 9-25</t>
  </si>
  <si>
    <r>
      <t xml:space="preserve">  SARR</t>
    </r>
    <r>
      <rPr>
        <vertAlign val="subscript"/>
        <sz val="10"/>
        <rFont val="Arial"/>
        <family val="2"/>
      </rPr>
      <t>max</t>
    </r>
    <r>
      <rPr>
        <sz val="10"/>
        <rFont val="Arial"/>
        <family val="2"/>
      </rPr>
      <t xml:space="preserve"> = -0.0059(D.O.)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+ 0.2429(D.O.) + 0.1662</t>
    </r>
  </si>
  <si>
    <r>
      <t xml:space="preserve">  (NH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-N)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@ SARR</t>
    </r>
    <r>
      <rPr>
        <vertAlign val="subscript"/>
        <sz val="10"/>
        <rFont val="Arial"/>
        <family val="2"/>
      </rPr>
      <t>max</t>
    </r>
    <r>
      <rPr>
        <sz val="10"/>
        <rFont val="Arial"/>
        <family val="2"/>
      </rPr>
      <t xml:space="preserve"> = 0.0191*(D.O.)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+ 0.1287(D.O.) + 0.1921</t>
    </r>
  </si>
  <si>
    <t xml:space="preserve">          Nitrification SARR:</t>
  </si>
  <si>
    <r>
      <t>Tab 4</t>
    </r>
    <r>
      <rPr>
        <sz val="12"/>
        <rFont val="Arial"/>
        <family val="2"/>
      </rPr>
      <t>. Derivation of SARR</t>
    </r>
    <r>
      <rPr>
        <vertAlign val="subscript"/>
        <sz val="12"/>
        <rFont val="Arial"/>
        <family val="2"/>
      </rPr>
      <t>max</t>
    </r>
    <r>
      <rPr>
        <sz val="12"/>
        <rFont val="Arial"/>
        <family val="2"/>
      </rPr>
      <t xml:space="preserve"> vs D.O. Equation</t>
    </r>
    <r>
      <rPr>
        <b/>
        <sz val="12"/>
        <rFont val="Arial"/>
        <family val="2"/>
      </rPr>
      <t xml:space="preserve">   </t>
    </r>
    <r>
      <rPr>
        <sz val="12"/>
        <rFont val="Arial"/>
        <family val="2"/>
      </rPr>
      <t>(for Nitrification)</t>
    </r>
  </si>
  <si>
    <r>
      <t>Equations derived for SARR</t>
    </r>
    <r>
      <rPr>
        <vertAlign val="subscript"/>
        <sz val="10"/>
        <rFont val="Arial"/>
        <family val="2"/>
      </rPr>
      <t>max</t>
    </r>
    <r>
      <rPr>
        <sz val="10"/>
        <rFont val="Arial"/>
        <family val="2"/>
      </rPr>
      <t xml:space="preserve"> vs D.O. and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N @ SARR</t>
    </r>
    <r>
      <rPr>
        <vertAlign val="subscript"/>
        <sz val="10"/>
        <rFont val="Arial"/>
        <family val="2"/>
      </rPr>
      <t>max</t>
    </r>
    <r>
      <rPr>
        <sz val="10"/>
        <rFont val="Arial"/>
        <family val="2"/>
      </rPr>
      <t xml:space="preserve"> vs D.O.</t>
    </r>
  </si>
  <si>
    <t>on Worksheet 4 are:</t>
  </si>
  <si>
    <t>The values for D.O. = 9 mg/L are from Odegaard, 1999 (reference shown below)</t>
  </si>
  <si>
    <t xml:space="preserve">        (beween 3.0 and 9.0 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</si>
</sst>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"/>
    <numFmt numFmtId="165" formatCode="0.0"/>
    <numFmt numFmtId="166" formatCode="0.0000"/>
    <numFmt numFmtId="167" formatCode="0.0%"/>
    <numFmt numFmtId="168" formatCode="0.00000"/>
  </numFmts>
  <fonts count="8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vertAlign val="subscript"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sz val="18"/>
      <name val="Arial"/>
      <family val="2"/>
    </font>
    <font>
      <u/>
      <sz val="14"/>
      <color indexed="12"/>
      <name val="Arial"/>
      <family val="2"/>
    </font>
    <font>
      <sz val="8"/>
      <color indexed="23"/>
      <name val="Verdana"/>
      <family val="2"/>
    </font>
    <font>
      <vertAlign val="superscript"/>
      <sz val="10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vertAlign val="superscript"/>
      <sz val="11"/>
      <color indexed="8"/>
      <name val="Calibri"/>
      <family val="2"/>
    </font>
    <font>
      <b/>
      <sz val="10"/>
      <color indexed="12"/>
      <name val="Arial"/>
      <family val="2"/>
    </font>
    <font>
      <b/>
      <sz val="11"/>
      <color indexed="12"/>
      <name val="Arial"/>
      <family val="2"/>
    </font>
    <font>
      <b/>
      <vertAlign val="subscript"/>
      <sz val="10"/>
      <color indexed="12"/>
      <name val="Arial"/>
      <family val="2"/>
    </font>
    <font>
      <b/>
      <sz val="11"/>
      <color indexed="12"/>
      <name val="Times New Roman"/>
      <family val="1"/>
    </font>
    <font>
      <b/>
      <vertAlign val="subscript"/>
      <sz val="11"/>
      <color indexed="12"/>
      <name val="Times New Roman"/>
      <family val="1"/>
    </font>
    <font>
      <sz val="10"/>
      <name val="Arial"/>
      <family val="2"/>
    </font>
    <font>
      <b/>
      <sz val="11"/>
      <color indexed="8"/>
      <name val="Arial"/>
      <family val="2"/>
    </font>
    <font>
      <b/>
      <vertAlign val="subscript"/>
      <sz val="11"/>
      <color indexed="8"/>
      <name val="Calibri"/>
      <family val="2"/>
    </font>
    <font>
      <b/>
      <sz val="11"/>
      <name val="Calibri"/>
      <family val="2"/>
    </font>
    <font>
      <b/>
      <sz val="11"/>
      <color indexed="8"/>
      <name val="Symbol"/>
      <family val="1"/>
      <charset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b/>
      <vertAlign val="subscript"/>
      <sz val="11"/>
      <name val="Calibri"/>
      <family val="2"/>
    </font>
    <font>
      <b/>
      <vertAlign val="subscript"/>
      <sz val="10"/>
      <color indexed="36"/>
      <name val="Arial"/>
      <family val="2"/>
    </font>
    <font>
      <b/>
      <sz val="10"/>
      <color indexed="36"/>
      <name val="Arial"/>
      <family val="2"/>
    </font>
    <font>
      <b/>
      <vertAlign val="subscript"/>
      <sz val="11"/>
      <name val="Arial"/>
      <family val="2"/>
    </font>
    <font>
      <b/>
      <sz val="11"/>
      <name val="Symbol"/>
      <family val="1"/>
      <charset val="2"/>
    </font>
    <font>
      <b/>
      <vertAlign val="superscript"/>
      <sz val="11"/>
      <name val="Calibri"/>
      <family val="2"/>
    </font>
    <font>
      <b/>
      <sz val="14"/>
      <color indexed="8"/>
      <name val="Arial"/>
      <family val="2"/>
    </font>
    <font>
      <u/>
      <sz val="10"/>
      <name val="Arial"/>
      <family val="2"/>
    </font>
    <font>
      <u/>
      <vertAlign val="superscript"/>
      <sz val="10"/>
      <name val="Arial"/>
      <family val="2"/>
    </font>
    <font>
      <b/>
      <sz val="12"/>
      <color indexed="8"/>
      <name val="Calibri"/>
      <family val="2"/>
    </font>
    <font>
      <b/>
      <sz val="12"/>
      <color indexed="8"/>
      <name val="Times New Roman"/>
      <family val="1"/>
    </font>
    <font>
      <b/>
      <vertAlign val="superscript"/>
      <sz val="11"/>
      <name val="Arial"/>
      <family val="2"/>
    </font>
    <font>
      <b/>
      <sz val="11"/>
      <color rgb="FF0000FF"/>
      <name val="Arial"/>
      <family val="2"/>
    </font>
    <font>
      <b/>
      <sz val="11"/>
      <color rgb="FF0000FF"/>
      <name val="Times New Roman"/>
      <family val="1"/>
    </font>
    <font>
      <b/>
      <sz val="11"/>
      <name val="Calibri"/>
      <family val="2"/>
      <scheme val="minor"/>
    </font>
    <font>
      <b/>
      <sz val="10"/>
      <color rgb="FF7030A0"/>
      <name val="Arial"/>
      <family val="2"/>
    </font>
    <font>
      <b/>
      <sz val="11"/>
      <color rgb="FFC00000"/>
      <name val="Arial"/>
      <family val="2"/>
    </font>
    <font>
      <b/>
      <sz val="10"/>
      <color rgb="FF0070C0"/>
      <name val="Arial"/>
      <family val="2"/>
    </font>
    <font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vertAlign val="subscript"/>
      <sz val="11"/>
      <color rgb="FF000000"/>
      <name val="Calibri"/>
      <family val="2"/>
    </font>
    <font>
      <vertAlign val="subscript"/>
      <sz val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23" borderId="7" applyNumberFormat="0" applyFont="0" applyAlignment="0" applyProtection="0"/>
    <xf numFmtId="0" fontId="17" fillId="20" borderId="8" applyNumberFormat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167"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7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24" borderId="10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0" fillId="0" borderId="0" xfId="0" applyProtection="1">
      <protection locked="0"/>
    </xf>
    <xf numFmtId="0" fontId="7" fillId="0" borderId="0" xfId="0" applyFont="1" applyAlignment="1">
      <alignment horizontal="left" vertical="center"/>
    </xf>
    <xf numFmtId="1" fontId="1" fillId="24" borderId="10" xfId="28" applyNumberFormat="1" applyFont="1" applyFill="1" applyBorder="1" applyAlignment="1" applyProtection="1">
      <alignment horizontal="center"/>
      <protection locked="0"/>
    </xf>
    <xf numFmtId="9" fontId="1" fillId="24" borderId="10" xfId="57" applyFont="1" applyFill="1" applyBorder="1" applyAlignment="1" applyProtection="1">
      <alignment horizontal="center"/>
      <protection locked="0"/>
    </xf>
    <xf numFmtId="0" fontId="29" fillId="0" borderId="0" xfId="0" applyFont="1"/>
    <xf numFmtId="0" fontId="26" fillId="0" borderId="0" xfId="0" applyFont="1"/>
    <xf numFmtId="0" fontId="30" fillId="0" borderId="0" xfId="0" applyFont="1" applyAlignment="1">
      <alignment vertical="center"/>
    </xf>
    <xf numFmtId="0" fontId="31" fillId="0" borderId="0" xfId="0" applyFont="1"/>
    <xf numFmtId="0" fontId="32" fillId="0" borderId="0" xfId="0" applyFont="1" applyAlignment="1">
      <alignment vertical="center"/>
    </xf>
    <xf numFmtId="0" fontId="30" fillId="0" borderId="0" xfId="0" applyFont="1"/>
    <xf numFmtId="0" fontId="0" fillId="0" borderId="11" xfId="0" applyBorder="1"/>
    <xf numFmtId="0" fontId="0" fillId="0" borderId="12" xfId="0" applyBorder="1"/>
    <xf numFmtId="0" fontId="33" fillId="0" borderId="12" xfId="0" applyFont="1" applyBorder="1" applyAlignment="1">
      <alignment horizontal="center"/>
    </xf>
    <xf numFmtId="0" fontId="33" fillId="0" borderId="12" xfId="0" applyFont="1" applyBorder="1" applyAlignment="1">
      <alignment horizontal="left"/>
    </xf>
    <xf numFmtId="0" fontId="0" fillId="0" borderId="13" xfId="0" applyBorder="1"/>
    <xf numFmtId="0" fontId="22" fillId="0" borderId="14" xfId="0" applyFont="1" applyBorder="1"/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33" fillId="0" borderId="18" xfId="0" applyFont="1" applyBorder="1" applyAlignment="1">
      <alignment horizontal="left"/>
    </xf>
    <xf numFmtId="0" fontId="35" fillId="0" borderId="0" xfId="0" applyFont="1"/>
    <xf numFmtId="0" fontId="7" fillId="0" borderId="0" xfId="0" applyFont="1" applyAlignment="1">
      <alignment horizontal="center" vertical="center"/>
    </xf>
    <xf numFmtId="1" fontId="7" fillId="24" borderId="10" xfId="28" applyNumberFormat="1" applyFont="1" applyFill="1" applyBorder="1" applyAlignment="1" applyProtection="1">
      <alignment horizontal="center"/>
      <protection locked="0"/>
    </xf>
    <xf numFmtId="0" fontId="37" fillId="0" borderId="0" xfId="0" applyFont="1"/>
    <xf numFmtId="164" fontId="7" fillId="25" borderId="10" xfId="28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7" fillId="25" borderId="10" xfId="28" applyNumberFormat="1" applyFont="1" applyFill="1" applyBorder="1" applyAlignment="1">
      <alignment horizontal="center"/>
    </xf>
    <xf numFmtId="165" fontId="7" fillId="25" borderId="10" xfId="28" applyNumberFormat="1" applyFont="1" applyFill="1" applyBorder="1" applyAlignment="1">
      <alignment horizontal="center"/>
    </xf>
    <xf numFmtId="1" fontId="7" fillId="25" borderId="10" xfId="28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0" fontId="39" fillId="0" borderId="19" xfId="0" applyFont="1" applyBorder="1"/>
    <xf numFmtId="0" fontId="0" fillId="0" borderId="20" xfId="0" applyBorder="1"/>
    <xf numFmtId="0" fontId="39" fillId="0" borderId="21" xfId="0" applyFont="1" applyBorder="1"/>
    <xf numFmtId="0" fontId="0" fillId="0" borderId="22" xfId="0" applyBorder="1"/>
    <xf numFmtId="0" fontId="38" fillId="0" borderId="0" xfId="0" applyFont="1"/>
    <xf numFmtId="165" fontId="7" fillId="24" borderId="10" xfId="28" applyNumberFormat="1" applyFont="1" applyFill="1" applyBorder="1" applyAlignment="1">
      <alignment horizontal="center"/>
    </xf>
    <xf numFmtId="9" fontId="0" fillId="0" borderId="0" xfId="57" applyFont="1"/>
    <xf numFmtId="9" fontId="7" fillId="24" borderId="10" xfId="57" applyFont="1" applyFill="1" applyBorder="1" applyAlignment="1" applyProtection="1">
      <alignment horizontal="center"/>
      <protection locked="0"/>
    </xf>
    <xf numFmtId="2" fontId="1" fillId="24" borderId="10" xfId="28" applyNumberFormat="1" applyFont="1" applyFill="1" applyBorder="1" applyAlignment="1" applyProtection="1">
      <alignment horizontal="center"/>
      <protection locked="0"/>
    </xf>
    <xf numFmtId="0" fontId="36" fillId="0" borderId="0" xfId="0" applyFont="1" applyAlignment="1">
      <alignment horizontal="center" vertical="center"/>
    </xf>
    <xf numFmtId="10" fontId="1" fillId="24" borderId="10" xfId="57" applyNumberFormat="1" applyFont="1" applyFill="1" applyBorder="1" applyAlignment="1" applyProtection="1">
      <alignment horizontal="center"/>
      <protection locked="0"/>
    </xf>
    <xf numFmtId="167" fontId="7" fillId="25" borderId="10" xfId="57" applyNumberFormat="1" applyFont="1" applyFill="1" applyBorder="1" applyAlignment="1">
      <alignment horizontal="center"/>
    </xf>
    <xf numFmtId="165" fontId="38" fillId="26" borderId="10" xfId="28" applyNumberFormat="1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26" fillId="24" borderId="23" xfId="0" applyFont="1" applyFill="1" applyBorder="1"/>
    <xf numFmtId="0" fontId="0" fillId="24" borderId="24" xfId="0" applyFill="1" applyBorder="1"/>
    <xf numFmtId="0" fontId="0" fillId="24" borderId="25" xfId="0" applyFill="1" applyBorder="1"/>
    <xf numFmtId="0" fontId="0" fillId="0" borderId="26" xfId="0" applyBorder="1"/>
    <xf numFmtId="0" fontId="39" fillId="0" borderId="27" xfId="0" applyFont="1" applyBorder="1" applyAlignment="1">
      <alignment vertical="center"/>
    </xf>
    <xf numFmtId="165" fontId="7" fillId="24" borderId="10" xfId="28" applyNumberFormat="1" applyFont="1" applyFill="1" applyBorder="1" applyAlignment="1" applyProtection="1">
      <alignment horizontal="center"/>
      <protection locked="0"/>
    </xf>
    <xf numFmtId="0" fontId="37" fillId="0" borderId="0" xfId="0" applyFont="1" applyAlignment="1">
      <alignment vertical="top"/>
    </xf>
    <xf numFmtId="0" fontId="43" fillId="0" borderId="0" xfId="0" applyFont="1" applyAlignment="1">
      <alignment horizontal="left"/>
    </xf>
    <xf numFmtId="0" fontId="43" fillId="0" borderId="0" xfId="0" applyFont="1" applyAlignment="1">
      <alignment vertical="top"/>
    </xf>
    <xf numFmtId="0" fontId="43" fillId="0" borderId="0" xfId="0" applyFont="1" applyAlignment="1">
      <alignment vertical="center"/>
    </xf>
    <xf numFmtId="0" fontId="26" fillId="0" borderId="0" xfId="50" applyFont="1" applyFill="1" applyBorder="1"/>
    <xf numFmtId="0" fontId="2" fillId="0" borderId="0" xfId="50"/>
    <xf numFmtId="0" fontId="2" fillId="0" borderId="0" xfId="50" applyFont="1"/>
    <xf numFmtId="0" fontId="46" fillId="0" borderId="0" xfId="0" applyFont="1"/>
    <xf numFmtId="0" fontId="47" fillId="0" borderId="0" xfId="0" applyFont="1"/>
    <xf numFmtId="9" fontId="7" fillId="25" borderId="10" xfId="57" applyFont="1" applyFill="1" applyBorder="1" applyAlignment="1">
      <alignment horizontal="center"/>
    </xf>
    <xf numFmtId="0" fontId="39" fillId="0" borderId="0" xfId="0" applyFont="1"/>
    <xf numFmtId="0" fontId="44" fillId="0" borderId="0" xfId="0" applyFont="1"/>
    <xf numFmtId="0" fontId="46" fillId="0" borderId="0" xfId="0" applyFont="1" applyAlignment="1">
      <alignment vertical="top"/>
    </xf>
    <xf numFmtId="0" fontId="7" fillId="24" borderId="10" xfId="0" applyFont="1" applyFill="1" applyBorder="1" applyAlignment="1" applyProtection="1">
      <alignment horizontal="center" vertical="center"/>
      <protection locked="0"/>
    </xf>
    <xf numFmtId="2" fontId="0" fillId="25" borderId="10" xfId="0" applyNumberFormat="1" applyFill="1" applyBorder="1" applyAlignment="1">
      <alignment horizontal="center"/>
    </xf>
    <xf numFmtId="0" fontId="39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2" fontId="7" fillId="24" borderId="10" xfId="0" applyNumberFormat="1" applyFont="1" applyFill="1" applyBorder="1" applyAlignment="1" applyProtection="1">
      <alignment horizontal="center"/>
      <protection locked="0"/>
    </xf>
    <xf numFmtId="0" fontId="70" fillId="0" borderId="0" xfId="0" applyFont="1"/>
    <xf numFmtId="0" fontId="71" fillId="0" borderId="0" xfId="0" applyFont="1"/>
    <xf numFmtId="0" fontId="71" fillId="0" borderId="0" xfId="54" applyFont="1"/>
    <xf numFmtId="0" fontId="0" fillId="0" borderId="0" xfId="0" applyFont="1"/>
    <xf numFmtId="0" fontId="0" fillId="0" borderId="0" xfId="0" applyFill="1"/>
    <xf numFmtId="0" fontId="13" fillId="0" borderId="0" xfId="38" applyFill="1" applyAlignment="1" applyProtection="1"/>
    <xf numFmtId="166" fontId="7" fillId="25" borderId="10" xfId="28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5" fontId="1" fillId="24" borderId="10" xfId="28" applyNumberFormat="1" applyFont="1" applyFill="1" applyBorder="1" applyAlignment="1" applyProtection="1">
      <alignment horizontal="center"/>
      <protection locked="0"/>
    </xf>
    <xf numFmtId="164" fontId="51" fillId="24" borderId="10" xfId="28" applyNumberFormat="1" applyFont="1" applyFill="1" applyBorder="1" applyAlignment="1" applyProtection="1">
      <alignment horizontal="center"/>
      <protection locked="0"/>
    </xf>
    <xf numFmtId="166" fontId="51" fillId="24" borderId="10" xfId="28" applyNumberFormat="1" applyFont="1" applyFill="1" applyBorder="1" applyAlignment="1" applyProtection="1">
      <alignment horizontal="center"/>
      <protection locked="0"/>
    </xf>
    <xf numFmtId="0" fontId="52" fillId="0" borderId="0" xfId="51" applyFont="1" applyFill="1" applyBorder="1"/>
    <xf numFmtId="0" fontId="19" fillId="0" borderId="0" xfId="51" applyFont="1" applyFill="1" applyBorder="1"/>
    <xf numFmtId="0" fontId="72" fillId="0" borderId="0" xfId="0" applyFont="1" applyFill="1"/>
    <xf numFmtId="0" fontId="2" fillId="0" borderId="0" xfId="51" applyFont="1" applyFill="1" applyBorder="1"/>
    <xf numFmtId="0" fontId="57" fillId="0" borderId="0" xfId="51" applyFont="1" applyFill="1" applyBorder="1"/>
    <xf numFmtId="165" fontId="7" fillId="24" borderId="10" xfId="0" applyNumberFormat="1" applyFont="1" applyFill="1" applyBorder="1" applyAlignment="1" applyProtection="1">
      <alignment horizontal="center"/>
      <protection locked="0"/>
    </xf>
    <xf numFmtId="0" fontId="73" fillId="0" borderId="0" xfId="0" applyFont="1"/>
    <xf numFmtId="0" fontId="73" fillId="0" borderId="0" xfId="0" applyFont="1" applyAlignment="1">
      <alignment vertical="top"/>
    </xf>
    <xf numFmtId="164" fontId="7" fillId="24" borderId="10" xfId="0" applyNumberFormat="1" applyFont="1" applyFill="1" applyBorder="1" applyAlignment="1" applyProtection="1">
      <alignment horizontal="center"/>
      <protection locked="0"/>
    </xf>
    <xf numFmtId="164" fontId="7" fillId="28" borderId="10" xfId="0" applyNumberFormat="1" applyFont="1" applyFill="1" applyBorder="1" applyAlignment="1" applyProtection="1">
      <alignment horizontal="center"/>
      <protection locked="0"/>
    </xf>
    <xf numFmtId="0" fontId="73" fillId="0" borderId="0" xfId="0" applyFont="1" applyAlignment="1">
      <alignment vertical="center"/>
    </xf>
    <xf numFmtId="2" fontId="7" fillId="28" borderId="10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vertical="center"/>
    </xf>
    <xf numFmtId="0" fontId="74" fillId="0" borderId="0" xfId="0" applyFont="1" applyAlignment="1">
      <alignment vertical="center"/>
    </xf>
    <xf numFmtId="0" fontId="2" fillId="0" borderId="0" xfId="50" applyFill="1"/>
    <xf numFmtId="0" fontId="7" fillId="0" borderId="0" xfId="0" applyFont="1" applyAlignment="1">
      <alignment vertical="top"/>
    </xf>
    <xf numFmtId="2" fontId="7" fillId="25" borderId="10" xfId="29" applyNumberFormat="1" applyFont="1" applyFill="1" applyBorder="1" applyAlignment="1">
      <alignment horizont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left" vertical="top"/>
    </xf>
    <xf numFmtId="9" fontId="51" fillId="24" borderId="10" xfId="57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165" fontId="7" fillId="25" borderId="10" xfId="29" applyNumberFormat="1" applyFont="1" applyFill="1" applyBorder="1" applyAlignment="1">
      <alignment horizontal="center"/>
    </xf>
    <xf numFmtId="0" fontId="37" fillId="0" borderId="0" xfId="0" applyFont="1" applyAlignment="1">
      <alignment vertical="center"/>
    </xf>
    <xf numFmtId="165" fontId="7" fillId="0" borderId="0" xfId="0" applyNumberFormat="1" applyFont="1" applyAlignment="1">
      <alignment horizontal="center"/>
    </xf>
    <xf numFmtId="0" fontId="75" fillId="0" borderId="0" xfId="0" applyFont="1" applyAlignment="1">
      <alignment vertical="center"/>
    </xf>
    <xf numFmtId="0" fontId="39" fillId="0" borderId="0" xfId="0" applyFont="1" applyAlignment="1">
      <alignment vertical="top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9" xfId="0" applyBorder="1" applyAlignment="1">
      <alignment horizontal="center"/>
    </xf>
    <xf numFmtId="0" fontId="7" fillId="0" borderId="0" xfId="0" applyFont="1" applyAlignment="1">
      <alignment horizontal="left" vertical="top"/>
    </xf>
    <xf numFmtId="164" fontId="7" fillId="25" borderId="10" xfId="29" applyNumberFormat="1" applyFont="1" applyFill="1" applyBorder="1" applyAlignment="1">
      <alignment horizontal="center"/>
    </xf>
    <xf numFmtId="167" fontId="7" fillId="24" borderId="10" xfId="57" applyNumberFormat="1" applyFont="1" applyFill="1" applyBorder="1" applyAlignment="1" applyProtection="1">
      <alignment horizontal="center"/>
      <protection locked="0"/>
    </xf>
    <xf numFmtId="165" fontId="7" fillId="24" borderId="10" xfId="57" applyNumberFormat="1" applyFont="1" applyFill="1" applyBorder="1" applyAlignment="1" applyProtection="1">
      <alignment horizontal="center"/>
      <protection locked="0"/>
    </xf>
    <xf numFmtId="168" fontId="7" fillId="24" borderId="10" xfId="57" applyNumberFormat="1" applyFont="1" applyFill="1" applyBorder="1" applyAlignment="1" applyProtection="1">
      <alignment horizontal="center"/>
      <protection locked="0"/>
    </xf>
    <xf numFmtId="165" fontId="7" fillId="25" borderId="10" xfId="57" applyNumberFormat="1" applyFont="1" applyFill="1" applyBorder="1" applyAlignment="1">
      <alignment horizontal="center"/>
    </xf>
    <xf numFmtId="165" fontId="38" fillId="26" borderId="10" xfId="29" applyNumberFormat="1" applyFont="1" applyFill="1" applyBorder="1" applyAlignment="1">
      <alignment horizontal="center"/>
    </xf>
    <xf numFmtId="2" fontId="38" fillId="26" borderId="10" xfId="29" applyNumberFormat="1" applyFont="1" applyFill="1" applyBorder="1" applyAlignment="1">
      <alignment horizontal="center"/>
    </xf>
    <xf numFmtId="0" fontId="38" fillId="0" borderId="0" xfId="0" applyFont="1" applyAlignment="1">
      <alignment horizontal="center"/>
    </xf>
    <xf numFmtId="0" fontId="64" fillId="0" borderId="0" xfId="52" applyFont="1"/>
    <xf numFmtId="0" fontId="7" fillId="0" borderId="0" xfId="52"/>
    <xf numFmtId="0" fontId="7" fillId="0" borderId="0" xfId="53"/>
    <xf numFmtId="0" fontId="7" fillId="0" borderId="0" xfId="53" applyAlignment="1">
      <alignment horizontal="center"/>
    </xf>
    <xf numFmtId="0" fontId="13" fillId="0" borderId="0" xfId="39" applyAlignment="1" applyProtection="1"/>
    <xf numFmtId="0" fontId="65" fillId="0" borderId="0" xfId="53" applyFont="1" applyAlignment="1">
      <alignment horizontal="center"/>
    </xf>
    <xf numFmtId="2" fontId="7" fillId="0" borderId="0" xfId="53" applyNumberFormat="1" applyAlignment="1">
      <alignment horizontal="center"/>
    </xf>
    <xf numFmtId="0" fontId="67" fillId="0" borderId="0" xfId="52" applyFont="1"/>
    <xf numFmtId="0" fontId="68" fillId="0" borderId="0" xfId="52" applyFont="1"/>
    <xf numFmtId="0" fontId="7" fillId="0" borderId="0" xfId="53" applyFill="1" applyAlignment="1">
      <alignment horizontal="center"/>
    </xf>
    <xf numFmtId="2" fontId="7" fillId="0" borderId="0" xfId="53" applyNumberFormat="1" applyFill="1" applyAlignment="1">
      <alignment horizontal="center"/>
    </xf>
    <xf numFmtId="0" fontId="0" fillId="0" borderId="18" xfId="0" applyBorder="1"/>
    <xf numFmtId="0" fontId="76" fillId="0" borderId="0" xfId="0" applyFont="1" applyFill="1" applyBorder="1"/>
    <xf numFmtId="0" fontId="76" fillId="0" borderId="0" xfId="0" applyFont="1" applyFill="1" applyBorder="1" applyAlignment="1">
      <alignment vertical="top"/>
    </xf>
    <xf numFmtId="0" fontId="13" fillId="0" borderId="0" xfId="38" applyAlignment="1" applyProtection="1">
      <alignment vertical="center"/>
    </xf>
    <xf numFmtId="168" fontId="7" fillId="25" borderId="10" xfId="28" applyNumberFormat="1" applyFont="1" applyFill="1" applyBorder="1" applyAlignment="1">
      <alignment horizontal="center"/>
    </xf>
    <xf numFmtId="0" fontId="71" fillId="0" borderId="0" xfId="54" applyFont="1" applyAlignment="1">
      <alignment vertical="top"/>
    </xf>
    <xf numFmtId="0" fontId="72" fillId="0" borderId="0" xfId="0" applyFont="1"/>
    <xf numFmtId="0" fontId="19" fillId="0" borderId="0" xfId="51" applyFont="1"/>
    <xf numFmtId="2" fontId="0" fillId="0" borderId="35" xfId="0" applyNumberFormat="1" applyBorder="1" applyAlignment="1">
      <alignment horizontal="center"/>
    </xf>
    <xf numFmtId="9" fontId="21" fillId="0" borderId="0" xfId="57" applyFont="1"/>
    <xf numFmtId="164" fontId="0" fillId="0" borderId="0" xfId="0" applyNumberFormat="1" applyAlignment="1">
      <alignment horizontal="center"/>
    </xf>
    <xf numFmtId="0" fontId="0" fillId="0" borderId="37" xfId="0" applyBorder="1" applyAlignment="1">
      <alignment horizontal="center"/>
    </xf>
    <xf numFmtId="2" fontId="0" fillId="0" borderId="38" xfId="0" applyNumberFormat="1" applyBorder="1" applyAlignment="1">
      <alignment horizontal="center"/>
    </xf>
    <xf numFmtId="0" fontId="70" fillId="0" borderId="0" xfId="0" applyFont="1" applyAlignment="1">
      <alignment vertical="center"/>
    </xf>
    <xf numFmtId="0" fontId="34" fillId="0" borderId="0" xfId="38" applyFont="1" applyBorder="1" applyAlignment="1" applyProtection="1">
      <alignment horizontal="center"/>
    </xf>
    <xf numFmtId="0" fontId="38" fillId="27" borderId="24" xfId="0" applyFont="1" applyFill="1" applyBorder="1" applyAlignment="1">
      <alignment horizontal="center" vertical="center"/>
    </xf>
    <xf numFmtId="0" fontId="38" fillId="27" borderId="25" xfId="0" applyFont="1" applyFill="1" applyBorder="1" applyAlignment="1">
      <alignment horizontal="center" vertical="center"/>
    </xf>
    <xf numFmtId="0" fontId="13" fillId="0" borderId="0" xfId="38" applyAlignment="1" applyProtection="1">
      <alignment horizontal="center"/>
    </xf>
    <xf numFmtId="0" fontId="13" fillId="0" borderId="0" xfId="38" applyAlignment="1" applyProtection="1">
      <alignment horizontal="left" vertical="center"/>
    </xf>
  </cellXfs>
  <cellStyles count="6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Excel Built-in Normal" xfId="31" xr:uid="{00000000-0005-0000-0000-00001E000000}"/>
    <cellStyle name="Explanatory Text" xfId="32" builtinId="53" customBuiltin="1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yperlink" xfId="38" builtinId="8"/>
    <cellStyle name="Hyperlink_2. User Inputs and Constants" xfId="39" xr:uid="{00000000-0005-0000-0000-000026000000}"/>
    <cellStyle name="Input" xfId="40" builtinId="20" customBuiltin="1"/>
    <cellStyle name="Linked Cell" xfId="41" builtinId="24" customBuiltin="1"/>
    <cellStyle name="Neutral" xfId="42" builtinId="28" customBuiltin="1"/>
    <cellStyle name="Normal" xfId="0" builtinId="0"/>
    <cellStyle name="Normal 2" xfId="43" xr:uid="{00000000-0005-0000-0000-00002B000000}"/>
    <cellStyle name="Normal 2 2" xfId="44" xr:uid="{00000000-0005-0000-0000-00002C000000}"/>
    <cellStyle name="Normal 3" xfId="45" xr:uid="{00000000-0005-0000-0000-00002D000000}"/>
    <cellStyle name="Normal 3 2" xfId="46" xr:uid="{00000000-0005-0000-0000-00002E000000}"/>
    <cellStyle name="Normal 3 2 2" xfId="47" xr:uid="{00000000-0005-0000-0000-00002F000000}"/>
    <cellStyle name="Normal 3 3" xfId="48" xr:uid="{00000000-0005-0000-0000-000030000000}"/>
    <cellStyle name="Normal 4" xfId="49" xr:uid="{00000000-0005-0000-0000-000031000000}"/>
    <cellStyle name="Normal_1. Introduction" xfId="50" xr:uid="{00000000-0005-0000-0000-000032000000}"/>
    <cellStyle name="Normal_2. Pre-Anoxic Denitrif." xfId="51" xr:uid="{00000000-0005-0000-0000-000033000000}"/>
    <cellStyle name="Normal_2. User Inputs and Constants" xfId="52" xr:uid="{00000000-0005-0000-0000-000034000000}"/>
    <cellStyle name="Normal_2. User Inputs and Constants_1" xfId="53" xr:uid="{00000000-0005-0000-0000-000035000000}"/>
    <cellStyle name="Normal_5. Exit Pressure" xfId="54" xr:uid="{00000000-0005-0000-0000-000036000000}"/>
    <cellStyle name="Note" xfId="55" builtinId="10" customBuiltin="1"/>
    <cellStyle name="Output" xfId="56" builtinId="21" customBuiltin="1"/>
    <cellStyle name="Percent" xfId="57" builtinId="5"/>
    <cellStyle name="Title" xfId="58" builtinId="15" customBuiltin="1"/>
    <cellStyle name="Total" xfId="59" builtinId="25" customBuiltin="1"/>
    <cellStyle name="Warning Text" xfId="6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SARR</a:t>
            </a:r>
            <a:r>
              <a:rPr lang="en-US" baseline="-25000"/>
              <a:t>max</a:t>
            </a:r>
            <a:r>
              <a:rPr lang="en-US"/>
              <a:t> vs D.O.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903845967593533"/>
          <c:y val="0.2823306233062331"/>
          <c:w val="0.81219164947554989"/>
          <c:h val="0.55830185860913728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19008595800524936"/>
                  <c:y val="4.2825896762904636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'4. SARRmax vs D.O.'!$B$33:$B$38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</c:numCache>
            </c:numRef>
          </c:xVal>
          <c:yVal>
            <c:numRef>
              <c:f>'4. SARRmax vs D.O.'!$C$33:$C$38</c:f>
              <c:numCache>
                <c:formatCode>General</c:formatCode>
                <c:ptCount val="6"/>
                <c:pt idx="0">
                  <c:v>0.61</c:v>
                </c:pt>
                <c:pt idx="1">
                  <c:v>0.88</c:v>
                </c:pt>
                <c:pt idx="2">
                  <c:v>1.03</c:v>
                </c:pt>
                <c:pt idx="3">
                  <c:v>1.23</c:v>
                </c:pt>
                <c:pt idx="4">
                  <c:v>1.41</c:v>
                </c:pt>
                <c:pt idx="5" formatCode="0.00">
                  <c:v>1.88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705-4671-BEE5-8EA5D09C2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2119088"/>
        <c:axId val="1095594704"/>
      </c:scatterChart>
      <c:valAx>
        <c:axId val="1202119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D.O.,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5594704"/>
        <c:crosses val="autoZero"/>
        <c:crossBetween val="midCat"/>
      </c:valAx>
      <c:valAx>
        <c:axId val="109559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SARRmax,</a:t>
                </a:r>
                <a:r>
                  <a:rPr lang="en-US" baseline="0"/>
                  <a:t> g/sq. m./day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119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</a:t>
            </a:r>
            <a:r>
              <a:rPr lang="en-US" baseline="0"/>
              <a:t> at SARRmax vs D.O.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'4. SARRmax vs D.O.'!$B$48:$B$53</c:f>
              <c:numCache>
                <c:formatCode>General</c:formatCode>
                <c:ptCount val="6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</c:numCache>
            </c:numRef>
          </c:xVal>
          <c:yVal>
            <c:numRef>
              <c:f>'4. SARRmax vs D.O.'!$C$48:$C$53</c:f>
              <c:numCache>
                <c:formatCode>General</c:formatCode>
                <c:ptCount val="6"/>
                <c:pt idx="0">
                  <c:v>0.5</c:v>
                </c:pt>
                <c:pt idx="1">
                  <c:v>0.8</c:v>
                </c:pt>
                <c:pt idx="2">
                  <c:v>1</c:v>
                </c:pt>
                <c:pt idx="3">
                  <c:v>1.3</c:v>
                </c:pt>
                <c:pt idx="4">
                  <c:v>1.65</c:v>
                </c:pt>
                <c:pt idx="5">
                  <c:v>2.9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98E-4B3D-96C7-179956E09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0980848"/>
        <c:axId val="1260978768"/>
      </c:scatterChart>
      <c:valAx>
        <c:axId val="126098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D.O.,</a:t>
                </a:r>
                <a:r>
                  <a:rPr lang="en-US" baseline="0"/>
                  <a:t> mg/L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0978768"/>
        <c:crosses val="autoZero"/>
        <c:crossBetween val="midCat"/>
      </c:valAx>
      <c:valAx>
        <c:axId val="126097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</a:t>
                </a:r>
                <a:r>
                  <a:rPr lang="en-US" baseline="0"/>
                  <a:t> at SARRmax, mg/L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0980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Saturation DO Concentration vs Temperature (at 1 atm pressure)</a:t>
            </a:r>
          </a:p>
        </c:rich>
      </c:tx>
      <c:layout>
        <c:manualLayout>
          <c:xMode val="edge"/>
          <c:yMode val="edge"/>
          <c:x val="0.11635740433761568"/>
          <c:y val="3.14608615099583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72067039106142E-2"/>
          <c:y val="0.14814856033142007"/>
          <c:w val="0.87011173184357538"/>
          <c:h val="0.69800764002303695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4141499717598591"/>
                  <c:y val="0.14194674383650754"/>
                </c:manualLayout>
              </c:layout>
              <c:numFmt formatCode="0.000E+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Lit>
              <c:formatCode>General</c:formatCode>
              <c:ptCount val="46"/>
              <c:pt idx="0">
                <c:v>35</c:v>
              </c:pt>
              <c:pt idx="1">
                <c:v>36</c:v>
              </c:pt>
              <c:pt idx="2">
                <c:v>37</c:v>
              </c:pt>
              <c:pt idx="3">
                <c:v>38</c:v>
              </c:pt>
              <c:pt idx="4">
                <c:v>39</c:v>
              </c:pt>
              <c:pt idx="5">
                <c:v>40</c:v>
              </c:pt>
              <c:pt idx="6">
                <c:v>41</c:v>
              </c:pt>
              <c:pt idx="7">
                <c:v>42</c:v>
              </c:pt>
              <c:pt idx="8">
                <c:v>43</c:v>
              </c:pt>
              <c:pt idx="9">
                <c:v>44</c:v>
              </c:pt>
              <c:pt idx="10">
                <c:v>45</c:v>
              </c:pt>
              <c:pt idx="11">
                <c:v>46</c:v>
              </c:pt>
              <c:pt idx="12">
                <c:v>47</c:v>
              </c:pt>
              <c:pt idx="13">
                <c:v>48</c:v>
              </c:pt>
              <c:pt idx="14">
                <c:v>49</c:v>
              </c:pt>
              <c:pt idx="15">
                <c:v>50</c:v>
              </c:pt>
              <c:pt idx="16">
                <c:v>51</c:v>
              </c:pt>
              <c:pt idx="17">
                <c:v>52</c:v>
              </c:pt>
              <c:pt idx="18">
                <c:v>53</c:v>
              </c:pt>
              <c:pt idx="19">
                <c:v>54</c:v>
              </c:pt>
              <c:pt idx="20">
                <c:v>55</c:v>
              </c:pt>
              <c:pt idx="21">
                <c:v>56</c:v>
              </c:pt>
              <c:pt idx="22">
                <c:v>57</c:v>
              </c:pt>
              <c:pt idx="23">
                <c:v>58</c:v>
              </c:pt>
              <c:pt idx="24">
                <c:v>59</c:v>
              </c:pt>
              <c:pt idx="25">
                <c:v>60</c:v>
              </c:pt>
              <c:pt idx="26">
                <c:v>61</c:v>
              </c:pt>
              <c:pt idx="27">
                <c:v>62</c:v>
              </c:pt>
              <c:pt idx="28">
                <c:v>63</c:v>
              </c:pt>
              <c:pt idx="29">
                <c:v>64</c:v>
              </c:pt>
              <c:pt idx="30">
                <c:v>65</c:v>
              </c:pt>
              <c:pt idx="31">
                <c:v>66</c:v>
              </c:pt>
              <c:pt idx="32">
                <c:v>67</c:v>
              </c:pt>
              <c:pt idx="33">
                <c:v>68</c:v>
              </c:pt>
              <c:pt idx="34">
                <c:v>69</c:v>
              </c:pt>
              <c:pt idx="35">
                <c:v>70</c:v>
              </c:pt>
              <c:pt idx="36">
                <c:v>71</c:v>
              </c:pt>
              <c:pt idx="37">
                <c:v>72</c:v>
              </c:pt>
              <c:pt idx="38">
                <c:v>73</c:v>
              </c:pt>
              <c:pt idx="39">
                <c:v>74</c:v>
              </c:pt>
              <c:pt idx="40">
                <c:v>75</c:v>
              </c:pt>
              <c:pt idx="41">
                <c:v>76</c:v>
              </c:pt>
              <c:pt idx="42">
                <c:v>77</c:v>
              </c:pt>
              <c:pt idx="43">
                <c:v>78</c:v>
              </c:pt>
              <c:pt idx="44">
                <c:v>79</c:v>
              </c:pt>
              <c:pt idx="45">
                <c:v>80</c:v>
              </c:pt>
            </c:numLit>
          </c:xVal>
          <c:yVal>
            <c:numLit>
              <c:formatCode>General</c:formatCode>
              <c:ptCount val="46"/>
              <c:pt idx="0">
                <c:v>13.96</c:v>
              </c:pt>
              <c:pt idx="1">
                <c:v>13.75</c:v>
              </c:pt>
              <c:pt idx="2">
                <c:v>13.54</c:v>
              </c:pt>
              <c:pt idx="3">
                <c:v>13.34</c:v>
              </c:pt>
              <c:pt idx="4">
                <c:v>13.15</c:v>
              </c:pt>
              <c:pt idx="5">
                <c:v>12.96</c:v>
              </c:pt>
              <c:pt idx="6">
                <c:v>12.77</c:v>
              </c:pt>
              <c:pt idx="7">
                <c:v>12.59</c:v>
              </c:pt>
              <c:pt idx="8">
                <c:v>12.41</c:v>
              </c:pt>
              <c:pt idx="9">
                <c:v>12.24</c:v>
              </c:pt>
              <c:pt idx="10">
                <c:v>12.07</c:v>
              </c:pt>
              <c:pt idx="11">
                <c:v>11.91</c:v>
              </c:pt>
              <c:pt idx="12">
                <c:v>11.75</c:v>
              </c:pt>
              <c:pt idx="13">
                <c:v>11.59</c:v>
              </c:pt>
              <c:pt idx="14">
                <c:v>11.44</c:v>
              </c:pt>
              <c:pt idx="15">
                <c:v>11.29</c:v>
              </c:pt>
              <c:pt idx="16">
                <c:v>11.14</c:v>
              </c:pt>
              <c:pt idx="17">
                <c:v>11</c:v>
              </c:pt>
              <c:pt idx="18">
                <c:v>10.86</c:v>
              </c:pt>
              <c:pt idx="19">
                <c:v>10.72</c:v>
              </c:pt>
              <c:pt idx="20">
                <c:v>10.59</c:v>
              </c:pt>
              <c:pt idx="21">
                <c:v>10.46</c:v>
              </c:pt>
              <c:pt idx="22">
                <c:v>10.33</c:v>
              </c:pt>
              <c:pt idx="23">
                <c:v>10.210000000000001</c:v>
              </c:pt>
              <c:pt idx="24">
                <c:v>10.08</c:v>
              </c:pt>
              <c:pt idx="25">
                <c:v>9.9600000000000009</c:v>
              </c:pt>
              <c:pt idx="26">
                <c:v>9.85</c:v>
              </c:pt>
              <c:pt idx="27">
                <c:v>9.73</c:v>
              </c:pt>
              <c:pt idx="28">
                <c:v>9.6199999999999903</c:v>
              </c:pt>
              <c:pt idx="29">
                <c:v>9.51</c:v>
              </c:pt>
              <c:pt idx="30">
                <c:v>9.4</c:v>
              </c:pt>
              <c:pt idx="31">
                <c:v>9.3000000000000007</c:v>
              </c:pt>
              <c:pt idx="32">
                <c:v>9.19</c:v>
              </c:pt>
              <c:pt idx="33">
                <c:v>9.09</c:v>
              </c:pt>
              <c:pt idx="34">
                <c:v>8.99</c:v>
              </c:pt>
              <c:pt idx="35">
                <c:v>8.9</c:v>
              </c:pt>
              <c:pt idx="36">
                <c:v>8.8000000000000007</c:v>
              </c:pt>
              <c:pt idx="37">
                <c:v>8.7100000000000009</c:v>
              </c:pt>
              <c:pt idx="38">
                <c:v>8.61</c:v>
              </c:pt>
              <c:pt idx="39">
                <c:v>8.52</c:v>
              </c:pt>
              <c:pt idx="40">
                <c:v>8.44</c:v>
              </c:pt>
              <c:pt idx="41">
                <c:v>8.35</c:v>
              </c:pt>
              <c:pt idx="42">
                <c:v>8.26</c:v>
              </c:pt>
              <c:pt idx="43">
                <c:v>8.18</c:v>
              </c:pt>
              <c:pt idx="44">
                <c:v>8.1</c:v>
              </c:pt>
              <c:pt idx="45">
                <c:v>8.02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F85A-4C4F-B158-9B5285884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6197136"/>
        <c:axId val="1"/>
      </c:scatterChart>
      <c:valAx>
        <c:axId val="536197136"/>
        <c:scaling>
          <c:orientation val="minMax"/>
          <c:min val="20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9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Temperature, degrees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9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F</a:t>
                </a:r>
              </a:p>
            </c:rich>
          </c:tx>
          <c:layout>
            <c:manualLayout>
              <c:xMode val="edge"/>
              <c:yMode val="edge"/>
              <c:x val="0.41483975687249619"/>
              <c:y val="0.906823838196695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Saturation D.O., mg/L</a:t>
                </a:r>
              </a:p>
            </c:rich>
          </c:tx>
          <c:layout>
            <c:manualLayout>
              <c:xMode val="edge"/>
              <c:yMode val="edge"/>
              <c:x val="2.6981454620803976E-2"/>
              <c:y val="0.361798054654932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61971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16</xdr:row>
      <xdr:rowOff>190500</xdr:rowOff>
    </xdr:from>
    <xdr:to>
      <xdr:col>16</xdr:col>
      <xdr:colOff>9525</xdr:colOff>
      <xdr:row>23</xdr:row>
      <xdr:rowOff>85725</xdr:rowOff>
    </xdr:to>
    <xdr:pic>
      <xdr:nvPicPr>
        <xdr:cNvPr id="4808" name="Picture 6" descr="C:\Users\Harlan\Documents\USB Folder_3_2013\Backup of 2 G Drive\Excel Spreadsheets for Sale\MBBR Design Calculations\SALR design values-Denitrif.png">
          <a:extLst>
            <a:ext uri="{FF2B5EF4-FFF2-40B4-BE49-F238E27FC236}">
              <a16:creationId xmlns:a16="http://schemas.microsoft.com/office/drawing/2014/main" id="{2C70EEF8-B679-472C-8F5B-4240DC30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3590925"/>
          <a:ext cx="364807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142875</xdr:colOff>
      <xdr:row>0</xdr:row>
      <xdr:rowOff>142875</xdr:rowOff>
    </xdr:from>
    <xdr:to>
      <xdr:col>18</xdr:col>
      <xdr:colOff>47625</xdr:colOff>
      <xdr:row>9</xdr:row>
      <xdr:rowOff>66675</xdr:rowOff>
    </xdr:to>
    <xdr:pic>
      <xdr:nvPicPr>
        <xdr:cNvPr id="4809" name="Picture 1">
          <a:extLst>
            <a:ext uri="{FF2B5EF4-FFF2-40B4-BE49-F238E27FC236}">
              <a16:creationId xmlns:a16="http://schemas.microsoft.com/office/drawing/2014/main" id="{1AF14CE8-A03C-44A6-9685-18CE760AB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42875"/>
          <a:ext cx="5029200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238125</xdr:colOff>
      <xdr:row>15</xdr:row>
      <xdr:rowOff>152400</xdr:rowOff>
    </xdr:from>
    <xdr:to>
      <xdr:col>23</xdr:col>
      <xdr:colOff>190500</xdr:colOff>
      <xdr:row>22</xdr:row>
      <xdr:rowOff>142875</xdr:rowOff>
    </xdr:to>
    <xdr:pic>
      <xdr:nvPicPr>
        <xdr:cNvPr id="4810" name="Picture 4">
          <a:extLst>
            <a:ext uri="{FF2B5EF4-FFF2-40B4-BE49-F238E27FC236}">
              <a16:creationId xmlns:a16="http://schemas.microsoft.com/office/drawing/2014/main" id="{1B7CEDC5-B51D-409B-95EE-B9DBFAD65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3314700"/>
          <a:ext cx="394335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152400</xdr:colOff>
      <xdr:row>1</xdr:row>
      <xdr:rowOff>9525</xdr:rowOff>
    </xdr:from>
    <xdr:to>
      <xdr:col>26</xdr:col>
      <xdr:colOff>123825</xdr:colOff>
      <xdr:row>12</xdr:row>
      <xdr:rowOff>9525</xdr:rowOff>
    </xdr:to>
    <xdr:pic>
      <xdr:nvPicPr>
        <xdr:cNvPr id="4811" name="Picture 7">
          <a:extLst>
            <a:ext uri="{FF2B5EF4-FFF2-40B4-BE49-F238E27FC236}">
              <a16:creationId xmlns:a16="http://schemas.microsoft.com/office/drawing/2014/main" id="{5CAFC5B9-EE87-4322-8E9F-F12A5C3ED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266700"/>
          <a:ext cx="3895725" cy="230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409575</xdr:colOff>
      <xdr:row>24</xdr:row>
      <xdr:rowOff>190500</xdr:rowOff>
    </xdr:from>
    <xdr:to>
      <xdr:col>16</xdr:col>
      <xdr:colOff>457200</xdr:colOff>
      <xdr:row>32</xdr:row>
      <xdr:rowOff>28575</xdr:rowOff>
    </xdr:to>
    <xdr:pic>
      <xdr:nvPicPr>
        <xdr:cNvPr id="4812" name="Picture 1">
          <a:extLst>
            <a:ext uri="{FF2B5EF4-FFF2-40B4-BE49-F238E27FC236}">
              <a16:creationId xmlns:a16="http://schemas.microsoft.com/office/drawing/2014/main" id="{245B7812-E3F3-41A1-9474-806F19C33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5391150"/>
          <a:ext cx="3952875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314325</xdr:colOff>
      <xdr:row>37</xdr:row>
      <xdr:rowOff>171450</xdr:rowOff>
    </xdr:from>
    <xdr:to>
      <xdr:col>21</xdr:col>
      <xdr:colOff>533400</xdr:colOff>
      <xdr:row>44</xdr:row>
      <xdr:rowOff>28575</xdr:rowOff>
    </xdr:to>
    <xdr:pic>
      <xdr:nvPicPr>
        <xdr:cNvPr id="5824" name="Picture 3" descr="C:\Users\Harlan\Documents\USB Folder_3_2013\Backup of 2 G Drive\Excel Spreadsheets for Sale\MBBR Design Calculations\SALR design values-Denitrif.png">
          <a:extLst>
            <a:ext uri="{FF2B5EF4-FFF2-40B4-BE49-F238E27FC236}">
              <a16:creationId xmlns:a16="http://schemas.microsoft.com/office/drawing/2014/main" id="{A2A93342-23B1-4A1E-B6DE-96D5DD4B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8477250"/>
          <a:ext cx="356235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0</xdr:row>
      <xdr:rowOff>142875</xdr:rowOff>
    </xdr:from>
    <xdr:to>
      <xdr:col>16</xdr:col>
      <xdr:colOff>514350</xdr:colOff>
      <xdr:row>9</xdr:row>
      <xdr:rowOff>28575</xdr:rowOff>
    </xdr:to>
    <xdr:pic>
      <xdr:nvPicPr>
        <xdr:cNvPr id="5825" name="Picture 5" descr="C:\Users\Harlan\Documents\USB Folder_3_2013\Backup of 2 G Drive\Excel Spreadsheets for Sale\MBBR Design Calculations\Flow Diag-Post-Denitrification.png">
          <a:extLst>
            <a:ext uri="{FF2B5EF4-FFF2-40B4-BE49-F238E27FC236}">
              <a16:creationId xmlns:a16="http://schemas.microsoft.com/office/drawing/2014/main" id="{7410170A-C70E-4801-B20D-836B2D20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42875"/>
          <a:ext cx="46482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5</xdr:row>
      <xdr:rowOff>180975</xdr:rowOff>
    </xdr:from>
    <xdr:to>
      <xdr:col>24</xdr:col>
      <xdr:colOff>371475</xdr:colOff>
      <xdr:row>13</xdr:row>
      <xdr:rowOff>85725</xdr:rowOff>
    </xdr:to>
    <xdr:pic>
      <xdr:nvPicPr>
        <xdr:cNvPr id="5826" name="Picture 4">
          <a:extLst>
            <a:ext uri="{FF2B5EF4-FFF2-40B4-BE49-F238E27FC236}">
              <a16:creationId xmlns:a16="http://schemas.microsoft.com/office/drawing/2014/main" id="{2503BEE3-1B4C-4816-BA89-90FE94F1F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257300"/>
          <a:ext cx="394335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457200</xdr:colOff>
      <xdr:row>36</xdr:row>
      <xdr:rowOff>161925</xdr:rowOff>
    </xdr:from>
    <xdr:to>
      <xdr:col>15</xdr:col>
      <xdr:colOff>447675</xdr:colOff>
      <xdr:row>46</xdr:row>
      <xdr:rowOff>123825</xdr:rowOff>
    </xdr:to>
    <xdr:pic>
      <xdr:nvPicPr>
        <xdr:cNvPr id="5827" name="Picture 6">
          <a:extLst>
            <a:ext uri="{FF2B5EF4-FFF2-40B4-BE49-F238E27FC236}">
              <a16:creationId xmlns:a16="http://schemas.microsoft.com/office/drawing/2014/main" id="{9C66669A-5B3F-428D-B496-87894F865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8239125"/>
          <a:ext cx="4200525" cy="222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16</xdr:row>
      <xdr:rowOff>38100</xdr:rowOff>
    </xdr:from>
    <xdr:to>
      <xdr:col>15</xdr:col>
      <xdr:colOff>276225</xdr:colOff>
      <xdr:row>22</xdr:row>
      <xdr:rowOff>314325</xdr:rowOff>
    </xdr:to>
    <xdr:pic>
      <xdr:nvPicPr>
        <xdr:cNvPr id="5828" name="Picture 1">
          <a:extLst>
            <a:ext uri="{FF2B5EF4-FFF2-40B4-BE49-F238E27FC236}">
              <a16:creationId xmlns:a16="http://schemas.microsoft.com/office/drawing/2014/main" id="{5C6F2F02-5F7F-40E8-8182-829B56C34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438525"/>
          <a:ext cx="3714750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</xdr:row>
      <xdr:rowOff>28575</xdr:rowOff>
    </xdr:from>
    <xdr:to>
      <xdr:col>4</xdr:col>
      <xdr:colOff>133350</xdr:colOff>
      <xdr:row>16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0C6FDD-99A8-4AF6-A230-6CC7ABA9B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52425"/>
          <a:ext cx="3124200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19050</xdr:colOff>
      <xdr:row>29</xdr:row>
      <xdr:rowOff>66675</xdr:rowOff>
    </xdr:from>
    <xdr:to>
      <xdr:col>11</xdr:col>
      <xdr:colOff>390525</xdr:colOff>
      <xdr:row>42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ACD2DD2-9D09-46D5-998C-BDD8C5362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266700</xdr:colOff>
      <xdr:row>44</xdr:row>
      <xdr:rowOff>142875</xdr:rowOff>
    </xdr:from>
    <xdr:to>
      <xdr:col>10</xdr:col>
      <xdr:colOff>571500</xdr:colOff>
      <xdr:row>61</xdr:row>
      <xdr:rowOff>9525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665DEFF-5539-4862-B86D-F41E44AFF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</xdr:row>
      <xdr:rowOff>85725</xdr:rowOff>
    </xdr:from>
    <xdr:to>
      <xdr:col>13</xdr:col>
      <xdr:colOff>57150</xdr:colOff>
      <xdr:row>24</xdr:row>
      <xdr:rowOff>66675</xdr:rowOff>
    </xdr:to>
    <xdr:graphicFrame macro="">
      <xdr:nvGraphicFramePr>
        <xdr:cNvPr id="9235" name="Chart 2">
          <a:extLst>
            <a:ext uri="{FF2B5EF4-FFF2-40B4-BE49-F238E27FC236}">
              <a16:creationId xmlns:a16="http://schemas.microsoft.com/office/drawing/2014/main" id="{CE54C0CD-5EE9-4D9E-9272-B49CC1F40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gineeringexceltemplates.com/downloads_main.aspx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netedu.xauat.edu.cn/jpkc/netedu/jpkc2009/szylyybh/content/wlzy/7/3/The%20Moving%20Bed%20Biofilm%20Reactor.pdf" TargetMode="External"/><Relationship Id="rId18" Type="http://schemas.openxmlformats.org/officeDocument/2006/relationships/hyperlink" Target="http://www.engineeringexceltemplates.com/downloads_main.aspx" TargetMode="External"/><Relationship Id="rId26" Type="http://schemas.openxmlformats.org/officeDocument/2006/relationships/hyperlink" Target="http://www.engineeringexceltemplates.com/downloads_main.aspx" TargetMode="External"/><Relationship Id="rId39" Type="http://schemas.openxmlformats.org/officeDocument/2006/relationships/printerSettings" Target="../printerSettings/printerSettings2.bin"/><Relationship Id="rId21" Type="http://schemas.openxmlformats.org/officeDocument/2006/relationships/hyperlink" Target="http://www.engineeringexceltemplates.com/downloads_main.aspx" TargetMode="External"/><Relationship Id="rId34" Type="http://schemas.openxmlformats.org/officeDocument/2006/relationships/hyperlink" Target="http://netedu.xauat.edu.cn/jpkc/netedu/jpkc2009/szylyybh/content/wlzy/7/3/The%20Moving%20Bed%20Biofilm%20Reactor.pdf" TargetMode="External"/><Relationship Id="rId7" Type="http://schemas.openxmlformats.org/officeDocument/2006/relationships/hyperlink" Target="http://www.engineeringexceltemplates.com/downloads_main.aspx" TargetMode="External"/><Relationship Id="rId12" Type="http://schemas.openxmlformats.org/officeDocument/2006/relationships/hyperlink" Target="http://accessengineeringlibrary.com/browse/standard-handbook-of-environmental-engineering-second-edition/p2000a1f99976_93001?utm_source=ActivatedSludge%20US&amp;utm_medium=Excel&amp;utm_content=Corbitt%206.5.1&amp;utm_campaign=blower" TargetMode="External"/><Relationship Id="rId17" Type="http://schemas.openxmlformats.org/officeDocument/2006/relationships/hyperlink" Target="http://www.xylemwatersolutions.com/scs/sweden/sv-se/produkter/cirkulationspumpar/documents/san3.pdf" TargetMode="External"/><Relationship Id="rId25" Type="http://schemas.openxmlformats.org/officeDocument/2006/relationships/hyperlink" Target="http://www.engineeringexceltemplates.com/downloads_main.aspx" TargetMode="External"/><Relationship Id="rId33" Type="http://schemas.openxmlformats.org/officeDocument/2006/relationships/hyperlink" Target="http://www.accessengineeringlibrary.com/browse/design-of-municipal-wastewater-treatment-plants-wef-manual-of-practice-no-8-asce-manuals-and-reports-on-engineering-practice-no-76-fifth-edition/p200191e699713_36001" TargetMode="External"/><Relationship Id="rId38" Type="http://schemas.openxmlformats.org/officeDocument/2006/relationships/hyperlink" Target="https://www.amazon.com/Spreadsheets-MBBR-Denitrification-Design-Calculations-ebook/dp/B01LX2RJVF/ref=sr_1_14?ie=UTF8&amp;qid=1487523197&amp;sr=8-14&amp;keywords=Harlan+Bengtson" TargetMode="External"/><Relationship Id="rId2" Type="http://schemas.openxmlformats.org/officeDocument/2006/relationships/hyperlink" Target="http://netedu.xauat.edu.cn/jpkc/netedu/jpkc2009/szylyybh/content/wlzy/7/3/The%20Moving%20Bed%20Biofilm%20Reactor.pdf" TargetMode="External"/><Relationship Id="rId16" Type="http://schemas.openxmlformats.org/officeDocument/2006/relationships/hyperlink" Target="http://www.dsdic2014.hk/ppt/Presentation_(B4-1).pdf" TargetMode="External"/><Relationship Id="rId20" Type="http://schemas.openxmlformats.org/officeDocument/2006/relationships/hyperlink" Target="http://www.xylemwatersolutions.com/scs/sweden/sv-se/produkter/cirkulationspumpar/documents/san3.pdf" TargetMode="External"/><Relationship Id="rId29" Type="http://schemas.openxmlformats.org/officeDocument/2006/relationships/hyperlink" Target="http://www.engineeringexceltemplates.com/downloads_main.aspx" TargetMode="External"/><Relationship Id="rId1" Type="http://schemas.openxmlformats.org/officeDocument/2006/relationships/hyperlink" Target="http://www.headworksinternational.com/userfiles/file/Webinar/BV_Webinar_Slides.pdf" TargetMode="External"/><Relationship Id="rId6" Type="http://schemas.openxmlformats.org/officeDocument/2006/relationships/hyperlink" Target="http://www.dsdic2014.hk/ppt/Presentation_(B4-1).pdf" TargetMode="External"/><Relationship Id="rId11" Type="http://schemas.openxmlformats.org/officeDocument/2006/relationships/hyperlink" Target="http://www.xylemwatersolutions.com/scs/sweden/sv-se/produkter/cirkulationspumpar/documents/san3.pdf" TargetMode="External"/><Relationship Id="rId24" Type="http://schemas.openxmlformats.org/officeDocument/2006/relationships/hyperlink" Target="http://www.accessengineeringlibrary.com/browse/biofilm-reactors-wef-mop-35/p2001c2fa9970211001" TargetMode="External"/><Relationship Id="rId32" Type="http://schemas.openxmlformats.org/officeDocument/2006/relationships/hyperlink" Target="http://www.accessengineeringlibrary.com/browse/biofilm-reactors-wef-mop-35/p2001c2fa9970211001" TargetMode="External"/><Relationship Id="rId37" Type="http://schemas.openxmlformats.org/officeDocument/2006/relationships/hyperlink" Target="https://www.amazon.com/Spreadsheets-MBBR-Process-Design-Calculations/dp/1520406959/ref=sr_1_7?ie=UTF8&amp;qid=1487284495&amp;sr=8-7&amp;keywords=Harlan+Bengtson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://www.engineeringexceltemplates.com/downloads_main.aspx" TargetMode="External"/><Relationship Id="rId15" Type="http://schemas.openxmlformats.org/officeDocument/2006/relationships/hyperlink" Target="http://www.engineeringexceltemplates.com/downloads_main.aspx" TargetMode="External"/><Relationship Id="rId23" Type="http://schemas.openxmlformats.org/officeDocument/2006/relationships/hyperlink" Target="http://www.engineeringexceltemplates.com/downloads_main.aspx" TargetMode="External"/><Relationship Id="rId28" Type="http://schemas.openxmlformats.org/officeDocument/2006/relationships/hyperlink" Target="http://www.engineeringexceltemplates.com/downloads_main.aspx" TargetMode="External"/><Relationship Id="rId36" Type="http://schemas.openxmlformats.org/officeDocument/2006/relationships/hyperlink" Target="https://www.amazon.com/Biological-Wastewater-Treatment-Process-Calculations/dp/1520316410/ref=sr_1_1?ie=UTF8&amp;qid=1487284495&amp;sr=8-1&amp;keywords=Harlan+Bengtson" TargetMode="External"/><Relationship Id="rId10" Type="http://schemas.openxmlformats.org/officeDocument/2006/relationships/hyperlink" Target="http://www.xylemwatersolutions.com/scs/sweden/sv-se/produkter/cirkulationspumpar/documents/san3.pdf" TargetMode="External"/><Relationship Id="rId19" Type="http://schemas.openxmlformats.org/officeDocument/2006/relationships/hyperlink" Target="http://www.engineeringexceltemplates.com/downloads_main.aspx" TargetMode="External"/><Relationship Id="rId31" Type="http://schemas.openxmlformats.org/officeDocument/2006/relationships/hyperlink" Target="http://www.accessengineeringlibrary.com/browse/biofilm-reactors-wef-mop-35/p2001c2fa9970211001" TargetMode="External"/><Relationship Id="rId4" Type="http://schemas.openxmlformats.org/officeDocument/2006/relationships/hyperlink" Target="https://www.ndsu.edu/pubweb/nrg/outreach/Moving%20Bed%20Biofilm%20Reactor%20for%20Denitrification%20Corey.pdf" TargetMode="External"/><Relationship Id="rId9" Type="http://schemas.openxmlformats.org/officeDocument/2006/relationships/hyperlink" Target="http://www.engineeringexceltemplates.com/downloads_main.aspx" TargetMode="External"/><Relationship Id="rId14" Type="http://schemas.openxmlformats.org/officeDocument/2006/relationships/hyperlink" Target="http://www.engineeringexceltemplates.com/downloads_main.aspx" TargetMode="External"/><Relationship Id="rId22" Type="http://schemas.openxmlformats.org/officeDocument/2006/relationships/hyperlink" Target="http://accessengineeringlibrary.com/browse/standard-handbook-of-environmental-engineering-second-edition/p2000a1f99976_93001?utm_source=ActivatedSludge%20US&amp;utm_medium=Excel&amp;utm_content=Corbitt%206.5.1&amp;utm_campaign=blower" TargetMode="External"/><Relationship Id="rId27" Type="http://schemas.openxmlformats.org/officeDocument/2006/relationships/hyperlink" Target="http://www.headworksinternational.com/userfiles/file/Webinar/BV_Webinar_Slides.pdf" TargetMode="External"/><Relationship Id="rId30" Type="http://schemas.openxmlformats.org/officeDocument/2006/relationships/hyperlink" Target="http://www.engineeringexceltemplates.com/downloads_main.aspx" TargetMode="External"/><Relationship Id="rId35" Type="http://schemas.openxmlformats.org/officeDocument/2006/relationships/hyperlink" Target="https://www.amazon.com/Spreadsheets-MBBR-Process-Design-Calculations/dp/1520406959/ref=sr_1_7?ie=UTF8&amp;qid=1487284495&amp;sr=8-7&amp;keywords=Harlan+Bengtson" TargetMode="External"/><Relationship Id="rId8" Type="http://schemas.openxmlformats.org/officeDocument/2006/relationships/hyperlink" Target="http://www.dsdic2014.hk/ppt/Presentation_(B4-1).pdf" TargetMode="External"/><Relationship Id="rId3" Type="http://schemas.openxmlformats.org/officeDocument/2006/relationships/hyperlink" Target="http://www.dsdic2014.hk/ppt/Presentation_(B4-1)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dsu.edu/pubweb/nrg/outreach/Moving%20Bed%20Biofilm%20Reactor%20for%20Denitrification%20Corey.pdf" TargetMode="External"/><Relationship Id="rId13" Type="http://schemas.openxmlformats.org/officeDocument/2006/relationships/hyperlink" Target="http://www.engineeringexceltemplates.com/downloads_main.aspx" TargetMode="External"/><Relationship Id="rId18" Type="http://schemas.openxmlformats.org/officeDocument/2006/relationships/hyperlink" Target="http://www.engineeringexceltemplates.com/downloads_main.aspx" TargetMode="External"/><Relationship Id="rId3" Type="http://schemas.openxmlformats.org/officeDocument/2006/relationships/hyperlink" Target="http://www.xylemwatersolutions.com/scs/sweden/sv-se/produkter/cirkulationspumpar/documents/san3.pdf" TargetMode="External"/><Relationship Id="rId21" Type="http://schemas.openxmlformats.org/officeDocument/2006/relationships/hyperlink" Target="https://www.amazon.com/Biological-Wastewater-Treatment-Process-Calculations/dp/1520316410/ref=sr_1_1?ie=UTF8&amp;qid=1487284495&amp;sr=8-1&amp;keywords=Harlan+Bengtson" TargetMode="External"/><Relationship Id="rId7" Type="http://schemas.openxmlformats.org/officeDocument/2006/relationships/hyperlink" Target="http://www.dsdic2014.hk/ppt/Presentation_(B4-1).pdf" TargetMode="External"/><Relationship Id="rId12" Type="http://schemas.openxmlformats.org/officeDocument/2006/relationships/hyperlink" Target="http://www.headworksinternational.com/userfiles/file/Webinar/BV_Webinar_Slides.pdf" TargetMode="External"/><Relationship Id="rId17" Type="http://schemas.openxmlformats.org/officeDocument/2006/relationships/hyperlink" Target="http://www.werf.org/c/KnowledgeAreas/NutrientRemoval/compendium/05-Tertiary_Denitrification_Processes.aspx" TargetMode="External"/><Relationship Id="rId25" Type="http://schemas.openxmlformats.org/officeDocument/2006/relationships/drawing" Target="../drawings/drawing2.xml"/><Relationship Id="rId2" Type="http://schemas.openxmlformats.org/officeDocument/2006/relationships/hyperlink" Target="http://www.xylemwatersolutions.com/scs/sweden/sv-se/produkter/cirkulationspumpar/documents/san3.pdf" TargetMode="External"/><Relationship Id="rId16" Type="http://schemas.openxmlformats.org/officeDocument/2006/relationships/hyperlink" Target="http://www.headworksinternational.com/userfiles/file/Webinar/BV_Webinar_Slides.pdf" TargetMode="External"/><Relationship Id="rId20" Type="http://schemas.openxmlformats.org/officeDocument/2006/relationships/hyperlink" Target="http://www.engineeringexceltemplates.com/downloads_main.aspx" TargetMode="External"/><Relationship Id="rId1" Type="http://schemas.openxmlformats.org/officeDocument/2006/relationships/hyperlink" Target="http://www.accessengineeringlibrary.com/browse/biofilm-reactors-wef-mop-35/p2001c2fa9970211001" TargetMode="External"/><Relationship Id="rId6" Type="http://schemas.openxmlformats.org/officeDocument/2006/relationships/hyperlink" Target="http://netedu.xauat.edu.cn/jpkc/netedu/jpkc2009/szylyybh/content/wlzy/7/3/The%20Moving%20Bed%20Biofilm%20Reactor.pdf" TargetMode="External"/><Relationship Id="rId11" Type="http://schemas.openxmlformats.org/officeDocument/2006/relationships/hyperlink" Target="http://www.dsdic2014.hk/ppt/Presentation_(B4-1).pdf" TargetMode="External"/><Relationship Id="rId24" Type="http://schemas.openxmlformats.org/officeDocument/2006/relationships/printerSettings" Target="../printerSettings/printerSettings3.bin"/><Relationship Id="rId5" Type="http://schemas.openxmlformats.org/officeDocument/2006/relationships/hyperlink" Target="http://www.headworksinternational.com/userfiles/file/Webinar/BV_Webinar_Slides.pdf" TargetMode="External"/><Relationship Id="rId15" Type="http://schemas.openxmlformats.org/officeDocument/2006/relationships/hyperlink" Target="http://netedu.xauat.edu.cn/jpkc/netedu/jpkc2009/szylyybh/content/wlzy/7/3/The%20Moving%20Bed%20Biofilm%20Reactor.pdf" TargetMode="External"/><Relationship Id="rId23" Type="http://schemas.openxmlformats.org/officeDocument/2006/relationships/hyperlink" Target="https://www.amazon.com/Spreadsheets-MBBR-Denitrification-Design-Calculations-ebook/dp/B01LX2RJVF/ref=sr_1_14?ie=UTF8&amp;qid=1487523197&amp;sr=8-14&amp;keywords=Harlan+Bengtson" TargetMode="External"/><Relationship Id="rId10" Type="http://schemas.openxmlformats.org/officeDocument/2006/relationships/hyperlink" Target="http://netedu.xauat.edu.cn/jpkc/netedu/jpkc2009/szylyybh/content/wlzy/7/3/The%20Moving%20Bed%20Biofilm%20Reactor.pdf" TargetMode="External"/><Relationship Id="rId19" Type="http://schemas.openxmlformats.org/officeDocument/2006/relationships/hyperlink" Target="http://www.engineeringexceltemplates.com/downloads_main.aspx" TargetMode="External"/><Relationship Id="rId4" Type="http://schemas.openxmlformats.org/officeDocument/2006/relationships/hyperlink" Target="http://accessengineeringlibrary.com/browse/standard-handbook-of-environmental-engineering-second-edition/p2000a1f99976_93001?utm_source=ActivatedSludge%20US&amp;utm_medium=Excel&amp;utm_content=Corbitt%206.5.1&amp;utm_campaign=blower" TargetMode="External"/><Relationship Id="rId9" Type="http://schemas.openxmlformats.org/officeDocument/2006/relationships/hyperlink" Target="http://www.headworksinternational.com/userfiles/file/Webinar/BV_Webinar_Slides.pdf" TargetMode="External"/><Relationship Id="rId14" Type="http://schemas.openxmlformats.org/officeDocument/2006/relationships/hyperlink" Target="http://www.headworksinternational.com/userfiles/file/Webinar/BV_Webinar_Slides.pdf" TargetMode="External"/><Relationship Id="rId22" Type="http://schemas.openxmlformats.org/officeDocument/2006/relationships/hyperlink" Target="https://www.amazon.com/Spreadsheets-MBBR-Process-Design-Calculations/dp/1520406959/ref=sr_1_7?ie=UTF8&amp;qid=1487284495&amp;sr=8-7&amp;keywords=Harlan+Bengtson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headworksinternational.com/userfiles/file/Webinar/BV_Webinar_Slides.pdf" TargetMode="External"/><Relationship Id="rId1" Type="http://schemas.openxmlformats.org/officeDocument/2006/relationships/hyperlink" Target="http://netedu.xauat.edu.cn/jpkc/netedu/jpkc2009/szylyybh/content/wlzy/7/3/The%20Moving%20Bed%20Biofilm%20Reactor.pdf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workbookViewId="0"/>
  </sheetViews>
  <sheetFormatPr defaultRowHeight="12.75" x14ac:dyDescent="0.2"/>
  <cols>
    <col min="11" max="11" width="5.28515625" customWidth="1"/>
  </cols>
  <sheetData>
    <row r="1" spans="1:13" ht="18" x14ac:dyDescent="0.25">
      <c r="C1" s="13" t="s">
        <v>3</v>
      </c>
      <c r="L1" s="67" t="s">
        <v>76</v>
      </c>
      <c r="M1" s="68"/>
    </row>
    <row r="2" spans="1:13" ht="15.75" x14ac:dyDescent="0.25">
      <c r="A2" s="14"/>
      <c r="L2" s="68"/>
      <c r="M2" s="68"/>
    </row>
    <row r="3" spans="1:13" ht="15.75" x14ac:dyDescent="0.25">
      <c r="A3" s="3" t="s">
        <v>4</v>
      </c>
      <c r="L3" s="69" t="s">
        <v>138</v>
      </c>
      <c r="M3" s="68"/>
    </row>
    <row r="4" spans="1:13" ht="15.75" x14ac:dyDescent="0.25">
      <c r="A4" s="3"/>
      <c r="L4" s="69" t="s">
        <v>141</v>
      </c>
      <c r="M4" s="68"/>
    </row>
    <row r="5" spans="1:13" ht="15.75" x14ac:dyDescent="0.25">
      <c r="A5" s="3"/>
      <c r="B5" s="3" t="s">
        <v>59</v>
      </c>
      <c r="L5" s="69" t="s">
        <v>139</v>
      </c>
      <c r="M5" s="68"/>
    </row>
    <row r="6" spans="1:13" ht="15.75" x14ac:dyDescent="0.25">
      <c r="A6" s="3"/>
      <c r="L6" s="69" t="s">
        <v>140</v>
      </c>
      <c r="M6" s="68"/>
    </row>
    <row r="7" spans="1:13" ht="15.75" x14ac:dyDescent="0.25">
      <c r="A7" s="3"/>
      <c r="B7" s="3" t="s">
        <v>109</v>
      </c>
      <c r="L7" s="68"/>
      <c r="M7" s="68"/>
    </row>
    <row r="8" spans="1:13" ht="15.75" x14ac:dyDescent="0.25">
      <c r="A8" s="3"/>
      <c r="B8" s="3"/>
      <c r="L8" s="68" t="s">
        <v>388</v>
      </c>
      <c r="M8" s="68"/>
    </row>
    <row r="9" spans="1:13" ht="15.75" x14ac:dyDescent="0.25">
      <c r="A9" s="3"/>
      <c r="B9" s="3" t="s">
        <v>110</v>
      </c>
      <c r="L9" s="68" t="s">
        <v>389</v>
      </c>
      <c r="M9" s="68"/>
    </row>
    <row r="10" spans="1:13" ht="15.75" x14ac:dyDescent="0.25">
      <c r="A10" s="3"/>
      <c r="B10" s="3"/>
      <c r="L10" s="68" t="s">
        <v>390</v>
      </c>
      <c r="M10" s="68"/>
    </row>
    <row r="11" spans="1:13" ht="19.5" x14ac:dyDescent="0.35">
      <c r="A11" s="3"/>
      <c r="B11" s="14" t="s">
        <v>431</v>
      </c>
      <c r="L11" s="68" t="s">
        <v>391</v>
      </c>
      <c r="M11" s="68"/>
    </row>
    <row r="12" spans="1:13" ht="15.75" x14ac:dyDescent="0.25">
      <c r="B12" s="3"/>
      <c r="L12" s="68" t="s">
        <v>393</v>
      </c>
      <c r="M12" s="68"/>
    </row>
    <row r="13" spans="1:13" ht="15.75" x14ac:dyDescent="0.25">
      <c r="B13" s="14" t="s">
        <v>426</v>
      </c>
      <c r="L13" s="106" t="s">
        <v>392</v>
      </c>
    </row>
    <row r="15" spans="1:13" ht="15" x14ac:dyDescent="0.25">
      <c r="L15" s="106" t="s">
        <v>394</v>
      </c>
    </row>
    <row r="16" spans="1:13" ht="15.75" x14ac:dyDescent="0.25">
      <c r="A16" s="15" t="s">
        <v>6</v>
      </c>
      <c r="L16" s="106" t="s">
        <v>395</v>
      </c>
    </row>
    <row r="17" spans="1:13" ht="15.75" x14ac:dyDescent="0.25">
      <c r="A17" s="17" t="s">
        <v>7</v>
      </c>
      <c r="B17" s="3"/>
      <c r="L17" s="106" t="s">
        <v>396</v>
      </c>
    </row>
    <row r="18" spans="1:13" ht="15" x14ac:dyDescent="0.25">
      <c r="A18" s="17" t="s">
        <v>8</v>
      </c>
      <c r="L18" s="106" t="s">
        <v>398</v>
      </c>
    </row>
    <row r="19" spans="1:13" ht="15" x14ac:dyDescent="0.2">
      <c r="A19" s="17" t="s">
        <v>9</v>
      </c>
      <c r="B19" s="16"/>
      <c r="L19" t="s">
        <v>397</v>
      </c>
    </row>
    <row r="20" spans="1:13" ht="15" x14ac:dyDescent="0.2">
      <c r="A20" s="17" t="s">
        <v>10</v>
      </c>
      <c r="B20" s="16"/>
    </row>
    <row r="21" spans="1:13" ht="15" x14ac:dyDescent="0.25">
      <c r="A21" s="17" t="s">
        <v>11</v>
      </c>
      <c r="B21" s="16"/>
      <c r="L21" s="68" t="s">
        <v>271</v>
      </c>
    </row>
    <row r="22" spans="1:13" ht="17.25" x14ac:dyDescent="0.25">
      <c r="A22" s="17" t="s">
        <v>12</v>
      </c>
      <c r="B22" s="16"/>
      <c r="L22" s="69" t="s">
        <v>272</v>
      </c>
    </row>
    <row r="23" spans="1:13" ht="15" x14ac:dyDescent="0.25">
      <c r="A23" s="17" t="s">
        <v>13</v>
      </c>
      <c r="B23" s="16"/>
      <c r="L23" s="68" t="s">
        <v>261</v>
      </c>
    </row>
    <row r="24" spans="1:13" ht="15" x14ac:dyDescent="0.25">
      <c r="A24" s="17" t="s">
        <v>14</v>
      </c>
      <c r="B24" s="16"/>
      <c r="L24" s="68"/>
    </row>
    <row r="25" spans="1:13" ht="15" x14ac:dyDescent="0.25">
      <c r="B25" s="16"/>
      <c r="L25" s="69" t="s">
        <v>133</v>
      </c>
    </row>
    <row r="26" spans="1:13" ht="19.5" customHeight="1" x14ac:dyDescent="0.25">
      <c r="A26" s="14" t="s">
        <v>15</v>
      </c>
      <c r="B26" s="16"/>
      <c r="L26" s="69" t="s">
        <v>273</v>
      </c>
      <c r="M26" s="68"/>
    </row>
    <row r="27" spans="1:13" ht="15.75" x14ac:dyDescent="0.25">
      <c r="A27" s="18" t="s">
        <v>16</v>
      </c>
      <c r="B27" s="16"/>
      <c r="L27" s="69" t="s">
        <v>134</v>
      </c>
      <c r="M27" s="68"/>
    </row>
    <row r="28" spans="1:13" ht="18" customHeight="1" x14ac:dyDescent="0.25">
      <c r="M28" s="68"/>
    </row>
    <row r="29" spans="1:13" ht="15" x14ac:dyDescent="0.25">
      <c r="M29" s="68"/>
    </row>
    <row r="31" spans="1:13" ht="13.5" customHeight="1" thickBot="1" x14ac:dyDescent="0.25"/>
    <row r="32" spans="1:13" ht="18" customHeight="1" x14ac:dyDescent="0.35">
      <c r="A32" s="2"/>
      <c r="B32" s="19"/>
      <c r="C32" s="20"/>
      <c r="D32" s="20"/>
      <c r="E32" s="21"/>
      <c r="F32" s="21"/>
      <c r="G32" s="22"/>
      <c r="H32" s="20"/>
      <c r="I32" s="23"/>
    </row>
    <row r="33" spans="2:9" ht="23.25" x14ac:dyDescent="0.35">
      <c r="B33" s="24" t="s">
        <v>5</v>
      </c>
      <c r="C33" s="25"/>
      <c r="D33" s="25"/>
      <c r="E33" s="26"/>
      <c r="F33" s="26"/>
      <c r="G33" s="25"/>
      <c r="H33" s="27"/>
      <c r="I33" s="28"/>
    </row>
    <row r="34" spans="2:9" ht="18" x14ac:dyDescent="0.25">
      <c r="B34" s="29"/>
      <c r="C34" s="27"/>
      <c r="D34" s="162" t="s">
        <v>2</v>
      </c>
      <c r="E34" s="162"/>
      <c r="F34" s="162"/>
      <c r="G34" s="162"/>
      <c r="H34" s="162"/>
      <c r="I34" s="28"/>
    </row>
    <row r="35" spans="2:9" ht="17.25" customHeight="1" thickBot="1" x14ac:dyDescent="0.4">
      <c r="B35" s="30"/>
      <c r="C35" s="31"/>
      <c r="D35" s="31"/>
      <c r="E35" s="31"/>
      <c r="F35" s="31"/>
      <c r="G35" s="31"/>
      <c r="H35" s="31"/>
      <c r="I35" s="32"/>
    </row>
    <row r="37" spans="2:9" x14ac:dyDescent="0.2">
      <c r="B37" s="33" t="s">
        <v>424</v>
      </c>
    </row>
  </sheetData>
  <mergeCells count="1">
    <mergeCell ref="D34:H34"/>
  </mergeCells>
  <phoneticPr fontId="0" type="noConversion"/>
  <hyperlinks>
    <hyperlink ref="D34" r:id="rId1" display="http://www.engineeringexceltemplates.com/downloads_main.aspx" xr:uid="{00000000-0004-0000-0000-000000000000}"/>
  </hyperlinks>
  <pageMargins left="0.64" right="0.64" top="0.52" bottom="0.59" header="0.5" footer="0.5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10"/>
  <sheetViews>
    <sheetView zoomScaleNormal="100" workbookViewId="0"/>
  </sheetViews>
  <sheetFormatPr defaultRowHeight="12.75" x14ac:dyDescent="0.2"/>
  <cols>
    <col min="1" max="1" width="13.5703125" customWidth="1"/>
    <col min="2" max="2" width="12.85546875" customWidth="1"/>
    <col min="3" max="3" width="9.85546875" customWidth="1"/>
    <col min="5" max="5" width="6.5703125" customWidth="1"/>
    <col min="6" max="6" width="12.85546875" customWidth="1"/>
    <col min="7" max="7" width="12.42578125" customWidth="1"/>
    <col min="8" max="8" width="10.140625" bestFit="1" customWidth="1"/>
    <col min="10" max="10" width="9.85546875" customWidth="1"/>
    <col min="12" max="12" width="12" customWidth="1"/>
    <col min="13" max="13" width="13.7109375" customWidth="1"/>
    <col min="14" max="14" width="5.42578125" customWidth="1"/>
    <col min="20" max="20" width="5" customWidth="1"/>
    <col min="26" max="26" width="13.140625" customWidth="1"/>
  </cols>
  <sheetData>
    <row r="1" spans="1:22" ht="20.25" x14ac:dyDescent="0.3">
      <c r="A1" s="1" t="s">
        <v>182</v>
      </c>
    </row>
    <row r="2" spans="1:22" ht="18" x14ac:dyDescent="0.25">
      <c r="A2" s="2" t="s">
        <v>108</v>
      </c>
    </row>
    <row r="3" spans="1:22" ht="13.5" thickBot="1" x14ac:dyDescent="0.25"/>
    <row r="4" spans="1:22" ht="16.5" thickBot="1" x14ac:dyDescent="0.3">
      <c r="A4" s="57" t="s">
        <v>39</v>
      </c>
      <c r="B4" s="58"/>
      <c r="C4" s="58"/>
      <c r="D4" s="58"/>
      <c r="E4" s="58"/>
      <c r="F4" s="58"/>
      <c r="G4" s="58"/>
      <c r="H4" s="58"/>
      <c r="I4" s="59"/>
    </row>
    <row r="5" spans="1:22" ht="17.25" customHeight="1" x14ac:dyDescent="0.2"/>
    <row r="6" spans="1:22" ht="15.75" x14ac:dyDescent="0.25">
      <c r="A6" s="4" t="s">
        <v>79</v>
      </c>
    </row>
    <row r="7" spans="1:22" ht="16.5" customHeight="1" x14ac:dyDescent="0.2"/>
    <row r="8" spans="1:22" ht="17.25" customHeight="1" x14ac:dyDescent="0.25">
      <c r="A8" s="36" t="s">
        <v>111</v>
      </c>
      <c r="B8" s="3"/>
      <c r="C8" s="3"/>
      <c r="D8" s="3"/>
    </row>
    <row r="9" spans="1:22" ht="13.5" customHeight="1" thickBot="1" x14ac:dyDescent="0.25"/>
    <row r="10" spans="1:22" ht="18" customHeight="1" thickBot="1" x14ac:dyDescent="0.4">
      <c r="A10" s="10" t="s">
        <v>116</v>
      </c>
      <c r="B10" s="6"/>
      <c r="C10" s="76">
        <v>0.2</v>
      </c>
      <c r="D10" s="34" t="s">
        <v>183</v>
      </c>
      <c r="F10" s="5" t="s">
        <v>81</v>
      </c>
      <c r="G10" s="6"/>
      <c r="H10" s="7">
        <v>180</v>
      </c>
      <c r="I10" s="8" t="s">
        <v>1</v>
      </c>
    </row>
    <row r="11" spans="1:22" ht="17.25" customHeight="1" thickBot="1" x14ac:dyDescent="0.35">
      <c r="A11" s="5" t="s">
        <v>82</v>
      </c>
      <c r="B11" s="6"/>
      <c r="C11" s="7">
        <v>25</v>
      </c>
      <c r="D11" s="8" t="s">
        <v>1</v>
      </c>
      <c r="F11" s="5" t="s">
        <v>178</v>
      </c>
      <c r="G11" s="6"/>
      <c r="H11" s="7">
        <v>0</v>
      </c>
      <c r="I11" s="8" t="s">
        <v>1</v>
      </c>
      <c r="K11" s="6" t="s">
        <v>315</v>
      </c>
    </row>
    <row r="12" spans="1:22" ht="18" customHeight="1" thickBot="1" x14ac:dyDescent="0.35">
      <c r="A12" s="5" t="s">
        <v>46</v>
      </c>
      <c r="B12" s="3"/>
      <c r="C12" s="7">
        <v>4</v>
      </c>
      <c r="D12" t="s">
        <v>121</v>
      </c>
      <c r="G12" s="7">
        <v>140</v>
      </c>
      <c r="H12" s="5" t="s">
        <v>92</v>
      </c>
      <c r="K12" s="74" t="s">
        <v>316</v>
      </c>
    </row>
    <row r="13" spans="1:22" ht="14.25" x14ac:dyDescent="0.2">
      <c r="K13" s="74" t="s">
        <v>317</v>
      </c>
    </row>
    <row r="14" spans="1:22" ht="16.5" customHeight="1" x14ac:dyDescent="0.25">
      <c r="A14" s="36" t="s">
        <v>112</v>
      </c>
      <c r="V14" t="s">
        <v>267</v>
      </c>
    </row>
    <row r="15" spans="1:22" ht="16.5" customHeight="1" thickBot="1" x14ac:dyDescent="0.3">
      <c r="F15" t="s">
        <v>240</v>
      </c>
      <c r="G15" s="5"/>
      <c r="H15" s="9"/>
      <c r="M15" s="47" t="s">
        <v>62</v>
      </c>
      <c r="V15" t="s">
        <v>268</v>
      </c>
    </row>
    <row r="16" spans="1:22" ht="18.75" customHeight="1" thickBot="1" x14ac:dyDescent="0.35">
      <c r="A16" s="5" t="s">
        <v>83</v>
      </c>
      <c r="B16" s="6"/>
      <c r="C16" s="7">
        <v>9</v>
      </c>
      <c r="D16" s="8" t="s">
        <v>1</v>
      </c>
      <c r="F16" s="6" t="s">
        <v>241</v>
      </c>
      <c r="G16" s="6"/>
      <c r="H16" s="7">
        <v>0.2</v>
      </c>
      <c r="I16" s="97">
        <v>0.5</v>
      </c>
      <c r="M16" t="s">
        <v>117</v>
      </c>
    </row>
    <row r="17" spans="1:19" ht="18.75" customHeight="1" thickBot="1" x14ac:dyDescent="0.35">
      <c r="A17" s="5" t="s">
        <v>152</v>
      </c>
      <c r="B17" s="6"/>
      <c r="C17" s="80">
        <v>1.4388489208633097</v>
      </c>
      <c r="F17" s="73" t="s">
        <v>242</v>
      </c>
      <c r="H17" s="7">
        <v>0.95</v>
      </c>
      <c r="I17" s="80">
        <v>0.94</v>
      </c>
    </row>
    <row r="18" spans="1:19" ht="18.75" customHeight="1" x14ac:dyDescent="0.2">
      <c r="A18" s="79" t="s">
        <v>153</v>
      </c>
      <c r="E18" s="98" t="s">
        <v>246</v>
      </c>
    </row>
    <row r="19" spans="1:19" ht="19.5" customHeight="1" x14ac:dyDescent="0.2">
      <c r="A19" s="75" t="s">
        <v>154</v>
      </c>
      <c r="E19" s="102" t="s">
        <v>247</v>
      </c>
      <c r="J19" s="73"/>
    </row>
    <row r="20" spans="1:19" ht="17.25" customHeight="1" thickBot="1" x14ac:dyDescent="0.35">
      <c r="A20" s="5" t="s">
        <v>238</v>
      </c>
      <c r="E20" s="99" t="s">
        <v>269</v>
      </c>
    </row>
    <row r="21" spans="1:19" ht="16.5" customHeight="1" thickBot="1" x14ac:dyDescent="0.25">
      <c r="A21" s="5" t="s">
        <v>239</v>
      </c>
      <c r="C21" s="7">
        <v>0.9</v>
      </c>
      <c r="D21" s="34" t="s">
        <v>17</v>
      </c>
      <c r="F21" s="6" t="s">
        <v>243</v>
      </c>
      <c r="I21" s="37">
        <f>SLOPE(H17:I17,H16:I16)</f>
        <v>-3.3333333333333368E-2</v>
      </c>
    </row>
    <row r="22" spans="1:19" ht="15.75" customHeight="1" thickBot="1" x14ac:dyDescent="0.25">
      <c r="A22" s="70" t="s">
        <v>47</v>
      </c>
      <c r="F22" s="6" t="s">
        <v>244</v>
      </c>
      <c r="I22" s="37">
        <f>INTERCEPT(H17:I17,H16:I16)</f>
        <v>0.95666666666666667</v>
      </c>
      <c r="K22" s="85"/>
    </row>
    <row r="23" spans="1:19" ht="18" customHeight="1" thickBot="1" x14ac:dyDescent="0.25">
      <c r="A23" s="70" t="s">
        <v>118</v>
      </c>
      <c r="F23" s="5" t="s">
        <v>245</v>
      </c>
      <c r="I23" s="101">
        <f>(I21*C21)+I22</f>
        <v>0.92666666666666664</v>
      </c>
    </row>
    <row r="24" spans="1:19" ht="17.25" customHeight="1" x14ac:dyDescent="0.2">
      <c r="E24" s="6" t="s">
        <v>155</v>
      </c>
      <c r="F24" s="6"/>
      <c r="S24" s="73"/>
    </row>
    <row r="25" spans="1:19" ht="25.5" customHeight="1" x14ac:dyDescent="0.25">
      <c r="A25" s="36" t="s">
        <v>113</v>
      </c>
    </row>
    <row r="26" spans="1:19" ht="16.5" customHeight="1" thickBot="1" x14ac:dyDescent="0.25">
      <c r="F26" t="s">
        <v>240</v>
      </c>
      <c r="G26" s="5"/>
      <c r="H26" s="9"/>
      <c r="K26" s="85"/>
      <c r="L26" s="85"/>
      <c r="M26" s="86"/>
      <c r="N26" s="85"/>
      <c r="O26" s="85"/>
      <c r="P26" s="85"/>
      <c r="Q26" s="85"/>
      <c r="R26" s="85"/>
    </row>
    <row r="27" spans="1:19" ht="16.5" customHeight="1" thickBot="1" x14ac:dyDescent="0.25">
      <c r="A27" s="5" t="s">
        <v>248</v>
      </c>
      <c r="F27" s="6" t="s">
        <v>241</v>
      </c>
      <c r="G27" s="6"/>
      <c r="H27" s="7">
        <v>7.5</v>
      </c>
      <c r="I27" s="97">
        <v>15</v>
      </c>
    </row>
    <row r="28" spans="1:19" ht="18" customHeight="1" thickBot="1" x14ac:dyDescent="0.25">
      <c r="A28" s="5" t="s">
        <v>249</v>
      </c>
      <c r="C28" s="7">
        <v>6</v>
      </c>
      <c r="D28" s="34" t="s">
        <v>17</v>
      </c>
      <c r="F28" s="73" t="s">
        <v>242</v>
      </c>
      <c r="H28" s="7">
        <v>0.92500000000000004</v>
      </c>
      <c r="I28" s="100">
        <v>0.875</v>
      </c>
    </row>
    <row r="29" spans="1:19" ht="18.75" customHeight="1" x14ac:dyDescent="0.2">
      <c r="A29" s="70" t="s">
        <v>47</v>
      </c>
      <c r="E29" s="98" t="s">
        <v>265</v>
      </c>
    </row>
    <row r="30" spans="1:19" ht="18.75" customHeight="1" thickBot="1" x14ac:dyDescent="0.25">
      <c r="A30" s="75" t="s">
        <v>118</v>
      </c>
      <c r="E30" s="99" t="s">
        <v>270</v>
      </c>
    </row>
    <row r="31" spans="1:19" ht="17.25" customHeight="1" thickBot="1" x14ac:dyDescent="0.25">
      <c r="A31" s="5" t="s">
        <v>156</v>
      </c>
      <c r="C31" s="101">
        <f>(I31*C28)+I32</f>
        <v>0.93500000000000005</v>
      </c>
      <c r="F31" s="6" t="s">
        <v>243</v>
      </c>
      <c r="I31" s="37">
        <f>SLOPE(H28:I28,H27:I27)</f>
        <v>-6.6666666666666723E-3</v>
      </c>
    </row>
    <row r="32" spans="1:19" ht="18" customHeight="1" thickBot="1" x14ac:dyDescent="0.25">
      <c r="A32" s="6" t="s">
        <v>155</v>
      </c>
      <c r="F32" s="6" t="s">
        <v>244</v>
      </c>
      <c r="I32" s="37">
        <f>INTERCEPT(H28:I28,H27:I27)</f>
        <v>0.97500000000000009</v>
      </c>
    </row>
    <row r="33" spans="1:24" ht="21.75" customHeight="1" x14ac:dyDescent="0.2"/>
    <row r="34" spans="1:24" ht="17.100000000000001" customHeight="1" x14ac:dyDescent="0.25">
      <c r="A34" s="36" t="s">
        <v>114</v>
      </c>
    </row>
    <row r="35" spans="1:24" ht="15" customHeight="1" thickBot="1" x14ac:dyDescent="0.25">
      <c r="G35" s="5"/>
      <c r="H35" s="9"/>
      <c r="K35" s="107" t="s">
        <v>432</v>
      </c>
      <c r="S35" s="128"/>
    </row>
    <row r="36" spans="1:24" ht="18.75" customHeight="1" thickBot="1" x14ac:dyDescent="0.35">
      <c r="A36" s="6" t="s">
        <v>304</v>
      </c>
      <c r="C36" s="7">
        <v>45</v>
      </c>
      <c r="D36" s="8" t="s">
        <v>305</v>
      </c>
      <c r="E36" s="5" t="s">
        <v>302</v>
      </c>
      <c r="F36" s="6"/>
      <c r="G36" s="6"/>
      <c r="H36" s="7">
        <v>4</v>
      </c>
      <c r="I36" s="8" t="s">
        <v>1</v>
      </c>
      <c r="K36" s="6" t="s">
        <v>433</v>
      </c>
      <c r="N36" s="85"/>
      <c r="P36" s="85"/>
      <c r="Q36" s="85"/>
      <c r="R36" s="85"/>
      <c r="S36" s="85"/>
    </row>
    <row r="37" spans="1:24" ht="18.75" customHeight="1" thickBot="1" x14ac:dyDescent="0.25">
      <c r="E37" s="116"/>
      <c r="F37" s="6" t="s">
        <v>307</v>
      </c>
      <c r="G37" s="6"/>
      <c r="H37" s="97">
        <v>3</v>
      </c>
      <c r="I37" s="8" t="s">
        <v>1</v>
      </c>
      <c r="O37" s="5"/>
      <c r="X37" s="6"/>
    </row>
    <row r="38" spans="1:24" ht="18" customHeight="1" x14ac:dyDescent="0.3">
      <c r="A38" s="10"/>
      <c r="G38" s="81" t="s">
        <v>435</v>
      </c>
      <c r="J38" s="158"/>
      <c r="K38" s="6" t="s">
        <v>428</v>
      </c>
      <c r="O38" s="5"/>
    </row>
    <row r="39" spans="1:24" ht="21.75" customHeight="1" x14ac:dyDescent="0.25">
      <c r="A39" s="4" t="s">
        <v>332</v>
      </c>
      <c r="D39" s="34"/>
      <c r="F39" s="99"/>
      <c r="J39" s="158"/>
      <c r="O39" s="5"/>
      <c r="X39" s="5"/>
    </row>
    <row r="40" spans="1:24" ht="17.25" customHeight="1" thickBot="1" x14ac:dyDescent="0.35">
      <c r="F40" s="99"/>
      <c r="J40" s="158"/>
      <c r="K40" s="5" t="s">
        <v>425</v>
      </c>
      <c r="O40" s="5"/>
    </row>
    <row r="41" spans="1:24" ht="18" customHeight="1" thickBot="1" x14ac:dyDescent="0.35">
      <c r="A41" s="6" t="s">
        <v>320</v>
      </c>
      <c r="C41" s="72">
        <f>(C11-H36)/C11</f>
        <v>0.84</v>
      </c>
      <c r="F41" s="5" t="s">
        <v>323</v>
      </c>
      <c r="H41" s="108">
        <f>(0.0191*H37^2)+(0.1287*H37)+0.1921</f>
        <v>0.75009999999999999</v>
      </c>
      <c r="I41" s="8" t="s">
        <v>1</v>
      </c>
      <c r="J41" s="158"/>
      <c r="O41" s="5"/>
    </row>
    <row r="42" spans="1:24" ht="18" customHeight="1" thickBot="1" x14ac:dyDescent="0.35">
      <c r="A42" s="6" t="s">
        <v>321</v>
      </c>
      <c r="C42" s="108">
        <f>-(0.0059*H37^2)+(0.2429*H37)+0.1662</f>
        <v>0.84179999999999999</v>
      </c>
      <c r="D42" s="34" t="s">
        <v>312</v>
      </c>
      <c r="E42" s="5" t="s">
        <v>324</v>
      </c>
      <c r="F42" s="5"/>
      <c r="H42" s="108">
        <f>IF(H36&gt;H41,C42,(H36/(2.2+H36))*3.3)</f>
        <v>0.84179999999999999</v>
      </c>
      <c r="I42" s="34" t="s">
        <v>312</v>
      </c>
      <c r="J42" s="158"/>
      <c r="K42" s="5" t="s">
        <v>401</v>
      </c>
    </row>
    <row r="43" spans="1:24" ht="16.5" customHeight="1" thickBot="1" x14ac:dyDescent="0.35">
      <c r="E43" s="5" t="s">
        <v>325</v>
      </c>
      <c r="F43" s="5"/>
      <c r="H43" s="108">
        <f>H42*(C44^(((C36-32)/1.8)-15))</f>
        <v>0.54295625328373354</v>
      </c>
      <c r="I43" s="34" t="s">
        <v>312</v>
      </c>
      <c r="J43" s="158"/>
      <c r="K43" s="5" t="s">
        <v>402</v>
      </c>
    </row>
    <row r="44" spans="1:24" ht="18.75" customHeight="1" thickBot="1" x14ac:dyDescent="0.35">
      <c r="A44" s="6" t="s">
        <v>322</v>
      </c>
      <c r="C44" s="129">
        <f>IF(H36&gt;H41,1.058,1.098)</f>
        <v>1.0580000000000001</v>
      </c>
      <c r="D44" s="5" t="s">
        <v>326</v>
      </c>
      <c r="H44" s="108">
        <f>H43/C41</f>
        <v>0.64637649200444469</v>
      </c>
      <c r="I44" s="34" t="s">
        <v>17</v>
      </c>
      <c r="J44" s="85"/>
      <c r="K44" s="5" t="s">
        <v>403</v>
      </c>
      <c r="P44" s="47" t="s">
        <v>404</v>
      </c>
    </row>
    <row r="45" spans="1:24" ht="18" customHeight="1" x14ac:dyDescent="0.2">
      <c r="J45" s="38"/>
    </row>
    <row r="46" spans="1:24" ht="18" customHeight="1" x14ac:dyDescent="0.25">
      <c r="A46" s="4" t="s">
        <v>115</v>
      </c>
      <c r="B46" s="3"/>
      <c r="K46" s="5" t="s">
        <v>314</v>
      </c>
    </row>
    <row r="47" spans="1:24" ht="17.25" customHeight="1" thickBot="1" x14ac:dyDescent="0.25"/>
    <row r="48" spans="1:24" ht="18" customHeight="1" thickBot="1" x14ac:dyDescent="0.3">
      <c r="A48" t="s">
        <v>84</v>
      </c>
      <c r="B48" s="6"/>
      <c r="C48" s="40">
        <f>H10/C11</f>
        <v>7.2</v>
      </c>
      <c r="E48" s="81" t="str">
        <f>IF(C48&lt;4,"Use Worksheet 3 for Post-Anoxic",IF(C49&gt;0.75,"Use Worksheet 3 for Post-Anoxic","Use this Worksheet for Pre-Anoxic"))</f>
        <v>Use this Worksheet for Pre-Anoxic</v>
      </c>
      <c r="K48" s="47" t="s">
        <v>89</v>
      </c>
    </row>
    <row r="49" spans="1:12" ht="19.5" customHeight="1" thickBot="1" x14ac:dyDescent="0.3">
      <c r="A49" t="s">
        <v>85</v>
      </c>
      <c r="C49" s="72">
        <f>(C11-C16)/C11</f>
        <v>0.64</v>
      </c>
      <c r="E49" s="71" t="s">
        <v>132</v>
      </c>
      <c r="K49" t="s">
        <v>122</v>
      </c>
    </row>
    <row r="50" spans="1:12" ht="18" customHeight="1" x14ac:dyDescent="0.25">
      <c r="K50" s="74" t="s">
        <v>90</v>
      </c>
    </row>
    <row r="51" spans="1:12" ht="18" customHeight="1" x14ac:dyDescent="0.25">
      <c r="A51" s="4" t="s">
        <v>119</v>
      </c>
    </row>
    <row r="52" spans="1:12" ht="18" customHeight="1" thickBot="1" x14ac:dyDescent="0.3">
      <c r="K52" s="74" t="s">
        <v>91</v>
      </c>
    </row>
    <row r="53" spans="1:12" ht="18" customHeight="1" thickBot="1" x14ac:dyDescent="0.25">
      <c r="A53" s="5" t="s">
        <v>48</v>
      </c>
      <c r="B53" s="5"/>
      <c r="C53" s="35">
        <v>500</v>
      </c>
      <c r="D53" s="34" t="s">
        <v>18</v>
      </c>
      <c r="E53" s="43" t="s">
        <v>25</v>
      </c>
      <c r="F53" s="60"/>
      <c r="G53" s="44"/>
    </row>
    <row r="54" spans="1:12" ht="18" customHeight="1" thickBot="1" x14ac:dyDescent="0.25">
      <c r="A54" s="42" t="s">
        <v>237</v>
      </c>
      <c r="B54" s="6"/>
      <c r="C54" s="34"/>
      <c r="D54" s="34"/>
      <c r="E54" s="61" t="s">
        <v>26</v>
      </c>
      <c r="F54" s="45"/>
      <c r="G54" s="46"/>
      <c r="H54" s="163" t="s">
        <v>23</v>
      </c>
      <c r="I54" s="164"/>
    </row>
    <row r="55" spans="1:12" ht="18" customHeight="1" thickBot="1" x14ac:dyDescent="0.25">
      <c r="A55" s="85" t="s">
        <v>24</v>
      </c>
      <c r="B55" s="5"/>
      <c r="C55" s="35">
        <v>8</v>
      </c>
      <c r="D55" s="34" t="s">
        <v>184</v>
      </c>
      <c r="F55" s="5" t="s">
        <v>53</v>
      </c>
      <c r="G55" s="5"/>
      <c r="H55" s="50">
        <v>0.6</v>
      </c>
    </row>
    <row r="56" spans="1:12" ht="18" customHeight="1" thickBot="1" x14ac:dyDescent="0.25">
      <c r="A56" s="85" t="s">
        <v>28</v>
      </c>
      <c r="C56" s="62">
        <v>1.5</v>
      </c>
      <c r="F56" s="66" t="s">
        <v>54</v>
      </c>
      <c r="H56" s="49"/>
    </row>
    <row r="57" spans="1:12" ht="18" customHeight="1" x14ac:dyDescent="0.2">
      <c r="A57" s="65" t="s">
        <v>278</v>
      </c>
      <c r="F57" s="66" t="s">
        <v>55</v>
      </c>
    </row>
    <row r="58" spans="1:12" ht="15.75" customHeight="1" x14ac:dyDescent="0.2"/>
    <row r="59" spans="1:12" ht="18" customHeight="1" x14ac:dyDescent="0.25">
      <c r="A59" s="4" t="s">
        <v>120</v>
      </c>
    </row>
    <row r="60" spans="1:12" ht="18" customHeight="1" x14ac:dyDescent="0.2"/>
    <row r="61" spans="1:12" ht="15.75" customHeight="1" x14ac:dyDescent="0.25">
      <c r="A61" s="36" t="s">
        <v>157</v>
      </c>
      <c r="F61" s="64" t="s">
        <v>279</v>
      </c>
    </row>
    <row r="62" spans="1:12" ht="18.75" customHeight="1" thickBot="1" x14ac:dyDescent="0.25">
      <c r="F62" s="109" t="s">
        <v>280</v>
      </c>
    </row>
    <row r="63" spans="1:12" ht="18.75" customHeight="1" thickBot="1" x14ac:dyDescent="0.25">
      <c r="A63" s="5" t="s">
        <v>49</v>
      </c>
      <c r="B63" s="6"/>
      <c r="C63" s="12">
        <v>0.4</v>
      </c>
      <c r="D63" s="112" t="s">
        <v>293</v>
      </c>
      <c r="F63" s="110" t="s">
        <v>281</v>
      </c>
    </row>
    <row r="64" spans="1:12" ht="15.95" customHeight="1" thickBot="1" x14ac:dyDescent="0.35">
      <c r="A64" t="s">
        <v>123</v>
      </c>
      <c r="B64" s="6"/>
      <c r="C64" s="40">
        <f>(C10*H11*8.34)+(C10*C17*C16*8.34)</f>
        <v>21.600000000000005</v>
      </c>
      <c r="D64" s="8" t="s">
        <v>185</v>
      </c>
      <c r="F64" t="s">
        <v>45</v>
      </c>
      <c r="G64" s="6"/>
      <c r="H64" s="40">
        <f>C67/C$63</f>
        <v>54.430800000000005</v>
      </c>
      <c r="I64" s="34" t="s">
        <v>20</v>
      </c>
      <c r="K64" s="92" t="s">
        <v>208</v>
      </c>
      <c r="L64" s="85"/>
    </row>
    <row r="65" spans="1:12" ht="18" customHeight="1" thickBot="1" x14ac:dyDescent="0.35">
      <c r="A65" t="s">
        <v>123</v>
      </c>
      <c r="B65" s="6"/>
      <c r="C65" s="40">
        <f>C64*453.59</f>
        <v>9797.5440000000017</v>
      </c>
      <c r="D65" s="38" t="s">
        <v>19</v>
      </c>
      <c r="H65" s="40">
        <f>H64/(0.3048^3)</f>
        <v>1922.2055613840012</v>
      </c>
      <c r="I65" s="34" t="s">
        <v>186</v>
      </c>
    </row>
    <row r="66" spans="1:12" ht="17.25" customHeight="1" thickBot="1" x14ac:dyDescent="0.4">
      <c r="A66" t="s">
        <v>60</v>
      </c>
      <c r="B66" s="6"/>
      <c r="C66" s="40">
        <f>C65/C21</f>
        <v>10886.160000000002</v>
      </c>
      <c r="D66" s="34" t="s">
        <v>21</v>
      </c>
      <c r="H66" s="41">
        <f>H65*7.48</f>
        <v>14378.09759915233</v>
      </c>
      <c r="I66" s="34" t="s">
        <v>202</v>
      </c>
      <c r="K66" s="93" t="s">
        <v>218</v>
      </c>
    </row>
    <row r="67" spans="1:12" ht="17.25" customHeight="1" thickBot="1" x14ac:dyDescent="0.3">
      <c r="A67" t="s">
        <v>61</v>
      </c>
      <c r="B67" s="6"/>
      <c r="C67" s="37">
        <f>C66/C53</f>
        <v>21.772320000000004</v>
      </c>
      <c r="D67" s="34" t="s">
        <v>20</v>
      </c>
      <c r="F67" t="str">
        <f>IF(H54="cylindrical","Calculated Tank Diam.  =","  Calculated Tank Width =")</f>
        <v xml:space="preserve">  Calculated Tank Width =</v>
      </c>
      <c r="H67" s="40">
        <f>IF(H$54="cylindrical",((H65/C$55)*4/PI())^0.5,((H65/C$55)/C$56)^0.5)</f>
        <v>12.656373761152919</v>
      </c>
      <c r="I67" s="34" t="s">
        <v>184</v>
      </c>
      <c r="K67" s="93" t="s">
        <v>232</v>
      </c>
    </row>
    <row r="68" spans="1:12" ht="19.5" customHeight="1" thickBot="1" x14ac:dyDescent="0.3">
      <c r="A68" s="6" t="s">
        <v>158</v>
      </c>
      <c r="C68" s="40">
        <f>H65-((1-H$55)*C67/(0.3048^3))</f>
        <v>1614.652671562561</v>
      </c>
      <c r="D68" s="34" t="s">
        <v>186</v>
      </c>
      <c r="F68" t="str">
        <f>IF(H54="cylindrical","","  Calculated Tank Length =")</f>
        <v xml:space="preserve">  Calculated Tank Length =</v>
      </c>
      <c r="H68" s="40">
        <f>IF(H$54="cylindrical","",(H65/C$55)/H67)</f>
        <v>18.984560641729381</v>
      </c>
      <c r="I68" s="34" t="s">
        <v>184</v>
      </c>
      <c r="K68" s="94" t="s">
        <v>209</v>
      </c>
      <c r="L68" s="85"/>
    </row>
    <row r="69" spans="1:12" ht="15.95" customHeight="1" thickBot="1" x14ac:dyDescent="0.3">
      <c r="E69" s="6" t="s">
        <v>161</v>
      </c>
      <c r="I69" s="34"/>
      <c r="K69" s="93" t="s">
        <v>210</v>
      </c>
    </row>
    <row r="70" spans="1:12" ht="18" customHeight="1" thickBot="1" x14ac:dyDescent="0.35">
      <c r="A70" s="6" t="s">
        <v>162</v>
      </c>
      <c r="F70" s="6" t="s">
        <v>159</v>
      </c>
      <c r="H70" s="41">
        <f>C68*7.48/(C$10*1000000/(24*60))</f>
        <v>86.958734279673294</v>
      </c>
      <c r="I70" s="34" t="s">
        <v>27</v>
      </c>
      <c r="J70" s="85"/>
      <c r="K70" s="95" t="s">
        <v>211</v>
      </c>
    </row>
    <row r="71" spans="1:12" ht="17.25" customHeight="1" thickBot="1" x14ac:dyDescent="0.3">
      <c r="A71" s="6" t="s">
        <v>163</v>
      </c>
      <c r="C71" s="39">
        <f>I23*C21</f>
        <v>0.83399999999999996</v>
      </c>
      <c r="D71" s="34" t="s">
        <v>17</v>
      </c>
      <c r="F71" s="6" t="s">
        <v>160</v>
      </c>
      <c r="H71" s="41">
        <f>H70/C$12</f>
        <v>21.739683569918324</v>
      </c>
      <c r="I71" s="34" t="s">
        <v>27</v>
      </c>
      <c r="K71" s="95" t="s">
        <v>212</v>
      </c>
    </row>
    <row r="72" spans="1:12" ht="18.75" customHeight="1" thickBot="1" x14ac:dyDescent="0.35">
      <c r="A72" s="6" t="s">
        <v>164</v>
      </c>
      <c r="B72" s="6"/>
      <c r="C72" s="39">
        <f>C10*(C11-C16-H36)*8.34</f>
        <v>20.016000000000002</v>
      </c>
      <c r="D72" s="8" t="s">
        <v>185</v>
      </c>
      <c r="E72" s="6" t="s">
        <v>165</v>
      </c>
      <c r="G72" s="6"/>
      <c r="H72" s="39">
        <f>C71*C66/453.59</f>
        <v>20.016000000000002</v>
      </c>
      <c r="I72" s="38" t="s">
        <v>19</v>
      </c>
      <c r="K72" s="85"/>
    </row>
    <row r="73" spans="1:12" ht="18" customHeight="1" thickBot="1" x14ac:dyDescent="0.35">
      <c r="A73" s="6" t="s">
        <v>167</v>
      </c>
      <c r="E73" s="6" t="s">
        <v>166</v>
      </c>
      <c r="G73" s="6"/>
      <c r="H73" s="87">
        <f>H72-C72</f>
        <v>0</v>
      </c>
      <c r="I73" s="38" t="s">
        <v>19</v>
      </c>
      <c r="K73" s="96" t="s">
        <v>213</v>
      </c>
    </row>
    <row r="74" spans="1:12" ht="27" customHeight="1" x14ac:dyDescent="0.3">
      <c r="A74" s="82" t="s">
        <v>328</v>
      </c>
      <c r="F74" s="105"/>
      <c r="K74" s="93" t="s">
        <v>214</v>
      </c>
    </row>
    <row r="75" spans="1:12" ht="18" customHeight="1" x14ac:dyDescent="0.25">
      <c r="A75" s="82" t="s">
        <v>168</v>
      </c>
      <c r="K75" s="93" t="s">
        <v>215</v>
      </c>
    </row>
    <row r="76" spans="1:12" ht="18" customHeight="1" x14ac:dyDescent="0.25">
      <c r="A76" s="83" t="s">
        <v>329</v>
      </c>
      <c r="K76" s="93" t="s">
        <v>216</v>
      </c>
    </row>
    <row r="77" spans="1:12" ht="18" customHeight="1" x14ac:dyDescent="0.35">
      <c r="A77" s="83" t="s">
        <v>330</v>
      </c>
      <c r="C77" s="6"/>
      <c r="K77" s="93" t="s">
        <v>219</v>
      </c>
    </row>
    <row r="78" spans="1:12" ht="18" customHeight="1" x14ac:dyDescent="0.35">
      <c r="A78" s="83" t="s">
        <v>250</v>
      </c>
      <c r="K78" s="93" t="s">
        <v>217</v>
      </c>
    </row>
    <row r="79" spans="1:12" ht="18" customHeight="1" x14ac:dyDescent="0.2">
      <c r="A79" s="83" t="s">
        <v>169</v>
      </c>
    </row>
    <row r="80" spans="1:12" ht="18" customHeight="1" thickBot="1" x14ac:dyDescent="0.3">
      <c r="J80" s="155"/>
    </row>
    <row r="81" spans="1:11" ht="17.25" customHeight="1" thickBot="1" x14ac:dyDescent="0.3">
      <c r="A81" s="36" t="s">
        <v>262</v>
      </c>
      <c r="F81" t="s">
        <v>407</v>
      </c>
      <c r="H81" s="131">
        <v>10.878611396597</v>
      </c>
      <c r="I81" s="38" t="s">
        <v>1</v>
      </c>
    </row>
    <row r="82" spans="1:11" ht="18" customHeight="1" thickBot="1" x14ac:dyDescent="0.3">
      <c r="K82" s="92" t="s">
        <v>220</v>
      </c>
    </row>
    <row r="83" spans="1:11" ht="17.25" customHeight="1" thickBot="1" x14ac:dyDescent="0.25">
      <c r="A83" s="5" t="s">
        <v>49</v>
      </c>
      <c r="B83" s="6"/>
      <c r="C83" s="111">
        <v>0.72756267620439252</v>
      </c>
      <c r="D83" s="112" t="s">
        <v>411</v>
      </c>
      <c r="F83" t="s">
        <v>45</v>
      </c>
      <c r="G83" s="6"/>
      <c r="H83" s="40">
        <f>C87/C$83</f>
        <v>58.013351757560429</v>
      </c>
      <c r="I83" s="34" t="s">
        <v>20</v>
      </c>
    </row>
    <row r="84" spans="1:11" ht="17.25" customHeight="1" thickBot="1" x14ac:dyDescent="0.4">
      <c r="A84" s="6" t="s">
        <v>124</v>
      </c>
      <c r="B84" s="6"/>
      <c r="C84" s="40">
        <f>C10*H10*8.34-(0.67*(20/7)*C72)+C10*H17*H81*8.34</f>
        <v>279.16190476190479</v>
      </c>
      <c r="D84" s="88" t="s">
        <v>185</v>
      </c>
      <c r="G84" s="34"/>
      <c r="H84" s="40">
        <f>H83/(0.3048^3)</f>
        <v>2048.7221827147305</v>
      </c>
      <c r="I84" s="34" t="s">
        <v>186</v>
      </c>
      <c r="K84" s="93" t="s">
        <v>419</v>
      </c>
    </row>
    <row r="85" spans="1:11" ht="15.95" customHeight="1" thickBot="1" x14ac:dyDescent="0.3">
      <c r="A85" s="6" t="s">
        <v>124</v>
      </c>
      <c r="B85" s="6"/>
      <c r="C85" s="41">
        <f>C84*453.59</f>
        <v>126625.04838095239</v>
      </c>
      <c r="D85" s="88" t="s">
        <v>19</v>
      </c>
      <c r="F85" t="str">
        <f>IF(H54="cylindrical","Calculated Tank Diam.  =","  Calculated Tank Width =")</f>
        <v xml:space="preserve">  Calculated Tank Width =</v>
      </c>
      <c r="H85" s="40">
        <f>IF(H$54="cylindrical",((H84/C$55)*4/PI())^0.5,((H84/C$55)/C$56)^0.5)</f>
        <v>13.06624845009312</v>
      </c>
      <c r="I85" s="34" t="s">
        <v>184</v>
      </c>
      <c r="K85" s="93" t="s">
        <v>231</v>
      </c>
    </row>
    <row r="86" spans="1:11" ht="18" customHeight="1" thickBot="1" x14ac:dyDescent="0.3">
      <c r="A86" s="6" t="s">
        <v>60</v>
      </c>
      <c r="B86" s="6"/>
      <c r="C86" s="41">
        <f>C85/C28</f>
        <v>21104.174730158731</v>
      </c>
      <c r="D86" s="34" t="s">
        <v>21</v>
      </c>
      <c r="F86" t="str">
        <f>IF(H54="cylindrical","","  Calculated Tank Length =")</f>
        <v xml:space="preserve">  Calculated Tank Length =</v>
      </c>
      <c r="H86" s="40">
        <f>IF(H$54="cylindrical","",(H84/C$55)/H85)</f>
        <v>19.59937267513968</v>
      </c>
      <c r="I86" s="34" t="s">
        <v>184</v>
      </c>
      <c r="K86" s="93" t="s">
        <v>221</v>
      </c>
    </row>
    <row r="87" spans="1:11" ht="18.75" customHeight="1" thickBot="1" x14ac:dyDescent="0.3">
      <c r="A87" t="s">
        <v>61</v>
      </c>
      <c r="B87" s="6"/>
      <c r="C87" s="39">
        <f>C86/C$53</f>
        <v>42.208349460317464</v>
      </c>
      <c r="D87" s="34" t="s">
        <v>20</v>
      </c>
      <c r="E87" s="6" t="s">
        <v>161</v>
      </c>
      <c r="I87" s="34"/>
      <c r="K87" s="93" t="s">
        <v>222</v>
      </c>
    </row>
    <row r="88" spans="1:11" ht="18.75" customHeight="1" thickBot="1" x14ac:dyDescent="0.25">
      <c r="A88" t="s">
        <v>170</v>
      </c>
      <c r="C88" s="40">
        <f>H84-((1-H$55)*C87/(0.3048^3))</f>
        <v>1452.492665092637</v>
      </c>
      <c r="D88" s="34" t="s">
        <v>186</v>
      </c>
      <c r="F88" t="s">
        <v>171</v>
      </c>
      <c r="H88" s="41">
        <f>C88*7.48/(C$10*1000000/(24*60))</f>
        <v>78.225444971229066</v>
      </c>
      <c r="I88" s="34" t="s">
        <v>27</v>
      </c>
    </row>
    <row r="89" spans="1:11" ht="18.75" customHeight="1" thickBot="1" x14ac:dyDescent="0.3">
      <c r="A89" s="6" t="s">
        <v>173</v>
      </c>
      <c r="F89" t="s">
        <v>172</v>
      </c>
      <c r="H89" s="41">
        <f>H88/C$12</f>
        <v>19.556361242807267</v>
      </c>
      <c r="I89" s="34" t="s">
        <v>27</v>
      </c>
      <c r="K89" s="96" t="s">
        <v>223</v>
      </c>
    </row>
    <row r="90" spans="1:11" ht="18" customHeight="1" thickBot="1" x14ac:dyDescent="0.3">
      <c r="A90" s="6" t="s">
        <v>163</v>
      </c>
      <c r="C90" s="39">
        <f>C31*C28</f>
        <v>5.61</v>
      </c>
      <c r="D90" s="34" t="s">
        <v>17</v>
      </c>
      <c r="E90" t="s">
        <v>175</v>
      </c>
      <c r="F90" s="84"/>
      <c r="G90" s="6"/>
      <c r="H90" s="40">
        <f>((C84-C92)/C10)/8.34</f>
        <v>10.878611396597007</v>
      </c>
      <c r="I90" s="38" t="s">
        <v>1</v>
      </c>
      <c r="K90" s="93" t="s">
        <v>224</v>
      </c>
    </row>
    <row r="91" spans="1:11" ht="18" customHeight="1" thickBot="1" x14ac:dyDescent="0.3">
      <c r="A91" s="84" t="s">
        <v>174</v>
      </c>
      <c r="B91" s="6"/>
      <c r="C91" s="41">
        <f>C90*C86</f>
        <v>118394.42023619049</v>
      </c>
      <c r="D91" s="38" t="s">
        <v>19</v>
      </c>
      <c r="F91" s="102" t="s">
        <v>408</v>
      </c>
      <c r="K91" s="93" t="s">
        <v>225</v>
      </c>
    </row>
    <row r="92" spans="1:11" ht="18" customHeight="1" thickBot="1" x14ac:dyDescent="0.4">
      <c r="A92" s="6"/>
      <c r="C92" s="40">
        <f>C91/453.59</f>
        <v>261.01638095238098</v>
      </c>
      <c r="D92" s="8" t="s">
        <v>185</v>
      </c>
      <c r="F92" s="102" t="s">
        <v>409</v>
      </c>
      <c r="K92" s="93" t="s">
        <v>228</v>
      </c>
    </row>
    <row r="93" spans="1:11" ht="18" customHeight="1" thickBot="1" x14ac:dyDescent="0.25">
      <c r="D93" s="6" t="s">
        <v>412</v>
      </c>
      <c r="H93" s="152">
        <f>H81-H90</f>
        <v>0</v>
      </c>
      <c r="I93" s="38" t="s">
        <v>1</v>
      </c>
    </row>
    <row r="94" spans="1:11" ht="25.5" customHeight="1" x14ac:dyDescent="0.35">
      <c r="A94" s="82" t="s">
        <v>413</v>
      </c>
      <c r="F94" s="99"/>
      <c r="J94" s="85"/>
      <c r="K94" s="154" t="s">
        <v>417</v>
      </c>
    </row>
    <row r="95" spans="1:11" ht="18.75" customHeight="1" x14ac:dyDescent="0.25">
      <c r="A95" s="82" t="s">
        <v>168</v>
      </c>
      <c r="I95" s="34"/>
      <c r="J95" s="85"/>
      <c r="K95" s="92" t="s">
        <v>226</v>
      </c>
    </row>
    <row r="96" spans="1:11" ht="18" customHeight="1" x14ac:dyDescent="0.2">
      <c r="A96" s="83" t="s">
        <v>415</v>
      </c>
    </row>
    <row r="97" spans="1:20" ht="18" customHeight="1" x14ac:dyDescent="0.35">
      <c r="A97" s="83" t="s">
        <v>416</v>
      </c>
      <c r="J97" s="85"/>
      <c r="K97" s="94" t="s">
        <v>418</v>
      </c>
    </row>
    <row r="98" spans="1:20" ht="18" x14ac:dyDescent="0.35">
      <c r="A98" s="83" t="s">
        <v>414</v>
      </c>
      <c r="K98" s="93" t="s">
        <v>230</v>
      </c>
    </row>
    <row r="99" spans="1:20" ht="15.95" customHeight="1" x14ac:dyDescent="0.25">
      <c r="A99" s="153" t="s">
        <v>169</v>
      </c>
      <c r="K99" s="93" t="s">
        <v>221</v>
      </c>
    </row>
    <row r="100" spans="1:20" ht="15.95" customHeight="1" thickBot="1" x14ac:dyDescent="0.3">
      <c r="K100" s="93" t="s">
        <v>222</v>
      </c>
    </row>
    <row r="101" spans="1:20" ht="21" customHeight="1" thickBot="1" x14ac:dyDescent="0.25">
      <c r="A101" s="6" t="s">
        <v>410</v>
      </c>
      <c r="F101" s="113">
        <f>H64-H83</f>
        <v>-3.5825517575604238</v>
      </c>
    </row>
    <row r="102" spans="1:20" ht="27.75" customHeight="1" x14ac:dyDescent="0.25">
      <c r="A102" s="98" t="s">
        <v>285</v>
      </c>
      <c r="K102" s="96" t="s">
        <v>223</v>
      </c>
    </row>
    <row r="103" spans="1:20" ht="15.95" customHeight="1" x14ac:dyDescent="0.25">
      <c r="A103" s="102" t="s">
        <v>331</v>
      </c>
      <c r="K103" s="93" t="s">
        <v>224</v>
      </c>
    </row>
    <row r="104" spans="1:20" ht="18" customHeight="1" x14ac:dyDescent="0.35">
      <c r="K104" s="93" t="s">
        <v>227</v>
      </c>
    </row>
    <row r="105" spans="1:20" ht="18" customHeight="1" x14ac:dyDescent="0.35">
      <c r="A105" s="114" t="s">
        <v>263</v>
      </c>
      <c r="K105" s="93" t="s">
        <v>233</v>
      </c>
    </row>
    <row r="106" spans="1:20" ht="20.25" customHeight="1" thickBot="1" x14ac:dyDescent="0.25"/>
    <row r="107" spans="1:20" ht="18" customHeight="1" thickBot="1" x14ac:dyDescent="0.25">
      <c r="A107" s="5" t="s">
        <v>49</v>
      </c>
      <c r="B107" s="6"/>
      <c r="C107" s="111">
        <v>0.6</v>
      </c>
      <c r="D107" s="112" t="s">
        <v>287</v>
      </c>
      <c r="F107" t="s">
        <v>158</v>
      </c>
      <c r="H107" s="40">
        <f>H109-((1-H$55)*C111/(0.3048^3))</f>
        <v>3220.6440808564521</v>
      </c>
      <c r="I107" s="34" t="s">
        <v>186</v>
      </c>
    </row>
    <row r="108" spans="1:20" ht="19.5" customHeight="1" thickBot="1" x14ac:dyDescent="0.35">
      <c r="A108" t="s">
        <v>57</v>
      </c>
      <c r="B108" s="6"/>
      <c r="C108" s="39">
        <f>C10*C11*8.34+C10*C17*H36*8.34</f>
        <v>51.300000000000004</v>
      </c>
      <c r="D108" s="88" t="s">
        <v>185</v>
      </c>
      <c r="F108" t="s">
        <v>45</v>
      </c>
      <c r="G108" s="6"/>
      <c r="H108" s="40">
        <f>C111/C$107</f>
        <v>119.99800574348029</v>
      </c>
      <c r="I108" s="34" t="s">
        <v>20</v>
      </c>
      <c r="K108" s="94" t="s">
        <v>67</v>
      </c>
    </row>
    <row r="109" spans="1:20" ht="18" customHeight="1" thickBot="1" x14ac:dyDescent="0.35">
      <c r="A109" t="s">
        <v>57</v>
      </c>
      <c r="C109" s="41">
        <f>C108*453.59</f>
        <v>23269.167000000001</v>
      </c>
      <c r="D109" s="88" t="s">
        <v>19</v>
      </c>
      <c r="H109" s="40">
        <f>H108/(0.3048^3)</f>
        <v>4237.6895800742795</v>
      </c>
      <c r="I109" s="34" t="s">
        <v>186</v>
      </c>
      <c r="K109" t="s">
        <v>63</v>
      </c>
    </row>
    <row r="110" spans="1:20" ht="17.25" customHeight="1" thickBot="1" x14ac:dyDescent="0.25">
      <c r="A110" t="s">
        <v>60</v>
      </c>
      <c r="B110" s="6"/>
      <c r="C110" s="41">
        <f>C109/H44</f>
        <v>35999.401723044088</v>
      </c>
      <c r="D110" s="34" t="s">
        <v>21</v>
      </c>
      <c r="F110" t="str">
        <f>IF(H54="cylindrical","Calculated Tank Diam.  =","  Calculated Tank Width =")</f>
        <v xml:space="preserve">  Calculated Tank Width =</v>
      </c>
      <c r="H110" s="40">
        <f>IF(H$54="cylindrical",((H109/C$55)*4/PI())^0.5,((H109/C$55)/C$56)^0.5)</f>
        <v>18.792040824229904</v>
      </c>
      <c r="I110" s="34" t="s">
        <v>184</v>
      </c>
      <c r="K110" s="165" t="s">
        <v>56</v>
      </c>
      <c r="L110" s="165"/>
      <c r="M110" s="165"/>
      <c r="N110" s="165"/>
      <c r="O110" s="165"/>
      <c r="P110" s="165"/>
      <c r="Q110" s="165"/>
      <c r="R110" s="165"/>
      <c r="S110" s="165"/>
      <c r="T110" s="165"/>
    </row>
    <row r="111" spans="1:20" ht="17.25" customHeight="1" thickBot="1" x14ac:dyDescent="0.25">
      <c r="A111" s="6" t="s">
        <v>61</v>
      </c>
      <c r="B111" s="6"/>
      <c r="C111" s="39">
        <f>C110/C$53</f>
        <v>71.998803446088175</v>
      </c>
      <c r="D111" s="34" t="s">
        <v>20</v>
      </c>
      <c r="F111" t="str">
        <f>IF(H54="cylindrical","","  Calculated Tank Length =")</f>
        <v xml:space="preserve">  Calculated Tank Length =</v>
      </c>
      <c r="H111" s="77">
        <f>IF(H$54="cylindrical","",(H109/C$55)/H110)</f>
        <v>28.188061236344854</v>
      </c>
      <c r="I111" s="34" t="s">
        <v>184</v>
      </c>
    </row>
    <row r="112" spans="1:20" ht="26.25" customHeight="1" thickBot="1" x14ac:dyDescent="0.35">
      <c r="A112" s="6" t="s">
        <v>176</v>
      </c>
      <c r="E112" s="6" t="s">
        <v>161</v>
      </c>
      <c r="K112" t="s">
        <v>64</v>
      </c>
    </row>
    <row r="113" spans="1:14" ht="16.5" customHeight="1" thickBot="1" x14ac:dyDescent="0.25">
      <c r="A113" s="6"/>
      <c r="C113" s="34"/>
      <c r="D113" s="34"/>
      <c r="F113" t="s">
        <v>171</v>
      </c>
      <c r="H113" s="41">
        <f>H107*7.48/(C$10*1000000/(24*60))</f>
        <v>173.4510076186051</v>
      </c>
      <c r="I113" s="34" t="s">
        <v>27</v>
      </c>
      <c r="N113" s="42" t="s">
        <v>405</v>
      </c>
    </row>
    <row r="114" spans="1:14" ht="17.25" customHeight="1" thickBot="1" x14ac:dyDescent="0.25">
      <c r="A114" t="s">
        <v>282</v>
      </c>
      <c r="D114" s="38"/>
      <c r="F114" t="s">
        <v>172</v>
      </c>
      <c r="H114" s="41">
        <f>H113/C$12</f>
        <v>43.362751904651276</v>
      </c>
      <c r="I114" s="34" t="s">
        <v>27</v>
      </c>
      <c r="K114" t="s">
        <v>65</v>
      </c>
    </row>
    <row r="115" spans="1:14" ht="18" customHeight="1" thickBot="1" x14ac:dyDescent="0.25">
      <c r="A115" t="s">
        <v>299</v>
      </c>
      <c r="C115" s="113">
        <f>H64-H108</f>
        <v>-65.567205743480287</v>
      </c>
      <c r="D115" s="8"/>
      <c r="E115" s="6"/>
      <c r="F115" s="84"/>
      <c r="G115" s="6"/>
      <c r="H115" s="34"/>
      <c r="I115" s="38"/>
      <c r="M115" s="42" t="s">
        <v>406</v>
      </c>
    </row>
    <row r="116" spans="1:14" ht="18" customHeight="1" thickBot="1" x14ac:dyDescent="0.25">
      <c r="A116" s="98" t="s">
        <v>288</v>
      </c>
      <c r="F116" s="104" t="s">
        <v>286</v>
      </c>
      <c r="H116" s="108">
        <f>C10*H90*8.34*453.59/(C110)</f>
        <v>0.22863235917316033</v>
      </c>
      <c r="I116" s="34" t="s">
        <v>17</v>
      </c>
      <c r="K116" t="s">
        <v>136</v>
      </c>
    </row>
    <row r="117" spans="1:14" ht="17.25" customHeight="1" x14ac:dyDescent="0.2">
      <c r="A117" s="102" t="s">
        <v>284</v>
      </c>
      <c r="F117" s="6" t="s">
        <v>289</v>
      </c>
    </row>
    <row r="118" spans="1:14" ht="20.25" customHeight="1" x14ac:dyDescent="0.2">
      <c r="A118" s="102" t="s">
        <v>327</v>
      </c>
      <c r="F118" s="107" t="s">
        <v>290</v>
      </c>
      <c r="K118" t="s">
        <v>137</v>
      </c>
    </row>
    <row r="119" spans="1:14" ht="28.5" customHeight="1" x14ac:dyDescent="0.25">
      <c r="A119" s="4" t="s">
        <v>333</v>
      </c>
    </row>
    <row r="120" spans="1:14" x14ac:dyDescent="0.2">
      <c r="K120" t="s">
        <v>187</v>
      </c>
    </row>
    <row r="121" spans="1:14" ht="18" customHeight="1" x14ac:dyDescent="0.3">
      <c r="A121" s="36" t="s">
        <v>334</v>
      </c>
      <c r="K121" t="s">
        <v>69</v>
      </c>
    </row>
    <row r="122" spans="1:14" ht="18" customHeight="1" thickBot="1" x14ac:dyDescent="0.35">
      <c r="K122" t="s">
        <v>78</v>
      </c>
    </row>
    <row r="123" spans="1:14" ht="18" customHeight="1" thickBot="1" x14ac:dyDescent="0.35">
      <c r="A123" s="5" t="s">
        <v>197</v>
      </c>
      <c r="B123" s="6"/>
      <c r="C123" s="51">
        <v>1.5</v>
      </c>
      <c r="D123" s="10" t="s">
        <v>188</v>
      </c>
      <c r="F123" t="s">
        <v>29</v>
      </c>
      <c r="H123" s="48">
        <v>7.5</v>
      </c>
      <c r="I123" s="34" t="s">
        <v>184</v>
      </c>
      <c r="K123" t="s">
        <v>77</v>
      </c>
    </row>
    <row r="124" spans="1:14" ht="18.75" customHeight="1" thickBot="1" x14ac:dyDescent="0.35">
      <c r="A124" s="5" t="s">
        <v>58</v>
      </c>
      <c r="B124" s="6"/>
      <c r="C124" s="51">
        <v>4.57</v>
      </c>
      <c r="D124" s="10" t="s">
        <v>189</v>
      </c>
      <c r="F124" t="s">
        <v>30</v>
      </c>
      <c r="H124" s="11">
        <v>68</v>
      </c>
      <c r="I124" s="52" t="s">
        <v>192</v>
      </c>
    </row>
    <row r="125" spans="1:14" ht="17.25" customHeight="1" thickBot="1" x14ac:dyDescent="0.25">
      <c r="A125" s="5" t="s">
        <v>70</v>
      </c>
      <c r="B125" s="6"/>
      <c r="C125" s="53">
        <v>7.4999999999999997E-3</v>
      </c>
      <c r="D125" s="10" t="s">
        <v>190</v>
      </c>
      <c r="F125" t="s">
        <v>31</v>
      </c>
      <c r="H125" s="89">
        <v>14.7</v>
      </c>
      <c r="I125" s="34" t="s">
        <v>193</v>
      </c>
      <c r="K125" t="s">
        <v>75</v>
      </c>
    </row>
    <row r="126" spans="1:14" ht="17.25" customHeight="1" thickBot="1" x14ac:dyDescent="0.25">
      <c r="A126" t="s">
        <v>71</v>
      </c>
      <c r="C126" s="48">
        <v>0.5</v>
      </c>
      <c r="F126" t="s">
        <v>38</v>
      </c>
      <c r="H126" s="89">
        <v>14.7</v>
      </c>
      <c r="I126" s="34" t="s">
        <v>193</v>
      </c>
    </row>
    <row r="127" spans="1:14" ht="18" customHeight="1" thickBot="1" x14ac:dyDescent="0.25">
      <c r="A127" t="s">
        <v>35</v>
      </c>
      <c r="C127" s="89">
        <v>12</v>
      </c>
      <c r="D127" s="34" t="s">
        <v>191</v>
      </c>
      <c r="F127" t="s">
        <v>33</v>
      </c>
      <c r="H127" s="90">
        <v>7.4999999999999997E-2</v>
      </c>
      <c r="I127" s="34" t="s">
        <v>194</v>
      </c>
    </row>
    <row r="128" spans="1:14" ht="16.5" thickBot="1" x14ac:dyDescent="0.35">
      <c r="A128" s="42" t="s">
        <v>36</v>
      </c>
      <c r="F128" t="s">
        <v>72</v>
      </c>
      <c r="H128" s="91">
        <v>1.7299999999999999E-2</v>
      </c>
      <c r="I128" s="34" t="s">
        <v>194</v>
      </c>
    </row>
    <row r="130" spans="1:16" ht="16.5" customHeight="1" x14ac:dyDescent="0.25">
      <c r="A130" s="36" t="s">
        <v>335</v>
      </c>
    </row>
    <row r="131" spans="1:16" ht="17.25" customHeight="1" thickBot="1" x14ac:dyDescent="0.3">
      <c r="K131" s="92" t="s">
        <v>369</v>
      </c>
    </row>
    <row r="132" spans="1:16" ht="17.25" customHeight="1" thickBot="1" x14ac:dyDescent="0.25">
      <c r="A132" t="s">
        <v>32</v>
      </c>
      <c r="B132" s="6"/>
      <c r="C132" s="40">
        <f>C123*C84</f>
        <v>418.74285714285719</v>
      </c>
      <c r="D132" s="38" t="s">
        <v>185</v>
      </c>
      <c r="G132" s="6" t="s">
        <v>74</v>
      </c>
      <c r="H132" s="54">
        <f>C133*C126</f>
        <v>2.8124999999999997E-2</v>
      </c>
      <c r="I132" s="34"/>
    </row>
    <row r="133" spans="1:16" ht="18.75" thickBot="1" x14ac:dyDescent="0.4">
      <c r="B133" s="6" t="s">
        <v>73</v>
      </c>
      <c r="C133" s="54">
        <f>C125*H123</f>
        <v>5.6249999999999994E-2</v>
      </c>
      <c r="F133" t="s">
        <v>34</v>
      </c>
      <c r="H133" s="55">
        <f>((C132/H132)/H128)/(24*60)</f>
        <v>597.6491217339003</v>
      </c>
      <c r="I133" s="56" t="s">
        <v>196</v>
      </c>
      <c r="K133" s="94" t="s">
        <v>370</v>
      </c>
    </row>
    <row r="134" spans="1:16" ht="15.75" thickBot="1" x14ac:dyDescent="0.3">
      <c r="A134" t="s">
        <v>37</v>
      </c>
      <c r="C134" s="55">
        <f>H126+(C127*0.0361)+(62.4*H123/144)</f>
        <v>18.383199999999999</v>
      </c>
      <c r="D134" s="78" t="s">
        <v>195</v>
      </c>
    </row>
    <row r="135" spans="1:16" ht="18.75" x14ac:dyDescent="0.35">
      <c r="K135" s="94" t="s">
        <v>371</v>
      </c>
    </row>
    <row r="136" spans="1:16" ht="15.75" x14ac:dyDescent="0.25">
      <c r="A136" s="4" t="s">
        <v>352</v>
      </c>
    </row>
    <row r="137" spans="1:16" ht="18.75" x14ac:dyDescent="0.35">
      <c r="K137" s="94" t="s">
        <v>362</v>
      </c>
      <c r="P137" s="104" t="s">
        <v>372</v>
      </c>
    </row>
    <row r="138" spans="1:16" ht="15.75" thickBot="1" x14ac:dyDescent="0.25">
      <c r="A138" s="63" t="s">
        <v>142</v>
      </c>
    </row>
    <row r="139" spans="1:16" ht="18.75" thickBot="1" x14ac:dyDescent="0.4">
      <c r="A139" s="5" t="s">
        <v>336</v>
      </c>
      <c r="B139" s="6"/>
      <c r="C139" s="130">
        <v>5.6000000000000001E-2</v>
      </c>
      <c r="F139" s="5" t="s">
        <v>337</v>
      </c>
      <c r="G139" s="6"/>
      <c r="H139" s="131">
        <v>14.5</v>
      </c>
      <c r="I139" s="8" t="s">
        <v>193</v>
      </c>
      <c r="K139" s="149" t="s">
        <v>373</v>
      </c>
    </row>
    <row r="140" spans="1:16" ht="13.5" thickBot="1" x14ac:dyDescent="0.25">
      <c r="A140" s="107" t="s">
        <v>338</v>
      </c>
      <c r="F140" s="107" t="s">
        <v>339</v>
      </c>
    </row>
    <row r="141" spans="1:16" ht="18.75" thickBot="1" x14ac:dyDescent="0.4">
      <c r="A141" s="5" t="s">
        <v>340</v>
      </c>
      <c r="C141" s="131">
        <v>0.8</v>
      </c>
      <c r="F141" s="6" t="s">
        <v>341</v>
      </c>
      <c r="K141" s="149" t="s">
        <v>374</v>
      </c>
    </row>
    <row r="142" spans="1:16" ht="21" customHeight="1" thickBot="1" x14ac:dyDescent="0.3">
      <c r="A142" s="5" t="s">
        <v>342</v>
      </c>
      <c r="F142" s="6" t="s">
        <v>343</v>
      </c>
      <c r="H142" s="131">
        <v>1</v>
      </c>
    </row>
    <row r="143" spans="1:16" ht="18.75" thickBot="1" x14ac:dyDescent="0.3">
      <c r="A143" s="5" t="s">
        <v>344</v>
      </c>
      <c r="C143" s="131">
        <v>0.6</v>
      </c>
      <c r="F143" s="6" t="s">
        <v>345</v>
      </c>
      <c r="K143" s="150" t="s">
        <v>375</v>
      </c>
    </row>
    <row r="144" spans="1:16" ht="17.25" thickBot="1" x14ac:dyDescent="0.35">
      <c r="A144" s="5" t="s">
        <v>346</v>
      </c>
      <c r="C144" s="131">
        <v>7.5</v>
      </c>
      <c r="D144" s="6" t="s">
        <v>347</v>
      </c>
      <c r="F144" s="6" t="s">
        <v>348</v>
      </c>
      <c r="H144" s="131">
        <v>12</v>
      </c>
      <c r="I144" s="8" t="s">
        <v>349</v>
      </c>
    </row>
    <row r="145" spans="1:22" ht="17.25" thickBot="1" x14ac:dyDescent="0.35">
      <c r="A145" s="5" t="s">
        <v>350</v>
      </c>
      <c r="C145" s="132">
        <v>7.5209999999999999E-2</v>
      </c>
      <c r="D145" s="34" t="s">
        <v>351</v>
      </c>
      <c r="F145" s="107" t="s">
        <v>338</v>
      </c>
    </row>
    <row r="146" spans="1:22" ht="18.75" customHeight="1" x14ac:dyDescent="0.25">
      <c r="K146" s="47" t="s">
        <v>41</v>
      </c>
    </row>
    <row r="147" spans="1:22" ht="15" x14ac:dyDescent="0.25">
      <c r="A147" s="36" t="s">
        <v>0</v>
      </c>
      <c r="D147" s="94"/>
      <c r="K147" s="85"/>
    </row>
    <row r="148" spans="1:22" ht="13.5" thickBot="1" x14ac:dyDescent="0.25">
      <c r="K148" s="85" t="s">
        <v>86</v>
      </c>
    </row>
    <row r="149" spans="1:22" ht="16.5" thickBot="1" x14ac:dyDescent="0.35">
      <c r="A149" t="s">
        <v>32</v>
      </c>
      <c r="B149" s="6"/>
      <c r="C149" s="113">
        <f>C10*(4.57*(C11-H36)*8.34)</f>
        <v>160.07795999999999</v>
      </c>
      <c r="D149" s="8" t="s">
        <v>185</v>
      </c>
      <c r="F149" s="5" t="s">
        <v>354</v>
      </c>
      <c r="H149" s="54">
        <f>C139*C143*C141*(((H142*(C150/(14.7))*C152)-H37)/9.17)*(1.024^(((C36-32)/1.8)-20))</f>
        <v>2.2184417559027291E-2</v>
      </c>
      <c r="K149" s="85" t="s">
        <v>87</v>
      </c>
      <c r="O149" s="165" t="s">
        <v>105</v>
      </c>
      <c r="P149" s="165"/>
      <c r="Q149" s="165"/>
      <c r="R149" s="165"/>
      <c r="S149" s="165"/>
    </row>
    <row r="150" spans="1:22" ht="17.25" thickBot="1" x14ac:dyDescent="0.3">
      <c r="A150" s="104" t="s">
        <v>355</v>
      </c>
      <c r="B150" s="6"/>
      <c r="C150" s="133">
        <f>H139+(62.4*C144/2)/144</f>
        <v>16.125</v>
      </c>
      <c r="D150" s="8" t="s">
        <v>193</v>
      </c>
      <c r="F150" s="6" t="s">
        <v>356</v>
      </c>
      <c r="G150" s="6"/>
      <c r="H150" s="134">
        <f>(C149/H149)*28.97/(0.209*32*C145*60*24)</f>
        <v>288.60088603619658</v>
      </c>
      <c r="I150" s="56" t="s">
        <v>196</v>
      </c>
    </row>
    <row r="151" spans="1:22" ht="19.5" customHeight="1" thickBot="1" x14ac:dyDescent="0.3">
      <c r="A151" s="6" t="s">
        <v>357</v>
      </c>
      <c r="F151" s="6" t="s">
        <v>358</v>
      </c>
      <c r="H151" s="134">
        <f>H150*(14.7)/(68+459.67)*((C36+459.67)/H152)</f>
        <v>223.14250937461082</v>
      </c>
      <c r="I151" s="56" t="s">
        <v>359</v>
      </c>
      <c r="K151" s="85" t="s">
        <v>50</v>
      </c>
    </row>
    <row r="152" spans="1:22" ht="17.25" thickBot="1" x14ac:dyDescent="0.35">
      <c r="A152" s="6" t="s">
        <v>360</v>
      </c>
      <c r="C152" s="133">
        <f>(-0.00001391*(C36^3))+(0.003817*(C36^2))-(0.4259*C36)+24.78</f>
        <v>12.076376249999999</v>
      </c>
      <c r="D152" s="8" t="s">
        <v>1</v>
      </c>
      <c r="E152" s="6" t="s">
        <v>361</v>
      </c>
      <c r="H152" s="135">
        <f>H139+(H144*0.036126)+((62.4*C144)/144)</f>
        <v>18.183512</v>
      </c>
      <c r="I152" s="136" t="s">
        <v>193</v>
      </c>
      <c r="K152" s="85" t="s">
        <v>51</v>
      </c>
      <c r="L152" s="85"/>
      <c r="M152" s="85"/>
      <c r="N152" s="85"/>
      <c r="O152" s="85"/>
      <c r="P152" s="85"/>
      <c r="Q152" s="85"/>
      <c r="R152" s="85"/>
    </row>
    <row r="153" spans="1:22" ht="15.75" customHeight="1" x14ac:dyDescent="0.2">
      <c r="A153" s="104" t="s">
        <v>363</v>
      </c>
      <c r="K153" s="165" t="s">
        <v>52</v>
      </c>
      <c r="L153" s="165"/>
      <c r="M153" s="165"/>
      <c r="N153" s="165"/>
      <c r="O153" s="165"/>
      <c r="P153" s="165"/>
      <c r="Q153" s="165"/>
      <c r="R153" s="165"/>
      <c r="S153" s="165"/>
      <c r="T153" s="165"/>
      <c r="U153" s="165"/>
      <c r="V153" s="165"/>
    </row>
    <row r="155" spans="1:22" ht="15.75" x14ac:dyDescent="0.25">
      <c r="A155" s="4" t="s">
        <v>353</v>
      </c>
      <c r="K155" s="85" t="s">
        <v>43</v>
      </c>
      <c r="L155" s="85"/>
      <c r="M155" s="85"/>
      <c r="N155" s="85"/>
      <c r="O155" s="85"/>
      <c r="P155" s="85"/>
      <c r="Q155" s="85"/>
      <c r="R155" s="85"/>
    </row>
    <row r="156" spans="1:22" ht="13.5" thickBot="1" x14ac:dyDescent="0.25"/>
    <row r="157" spans="1:22" ht="15.75" thickBot="1" x14ac:dyDescent="0.25">
      <c r="A157" s="63" t="s">
        <v>93</v>
      </c>
      <c r="B157" s="5" t="s">
        <v>94</v>
      </c>
      <c r="D157" s="6"/>
      <c r="F157" s="7">
        <v>80</v>
      </c>
      <c r="G157" s="8" t="s">
        <v>1</v>
      </c>
      <c r="K157" s="85" t="s">
        <v>44</v>
      </c>
      <c r="L157" s="85"/>
      <c r="M157" s="85"/>
      <c r="N157" s="85"/>
      <c r="O157" s="85"/>
      <c r="P157" s="85"/>
      <c r="Q157" s="85"/>
      <c r="R157" s="85"/>
    </row>
    <row r="158" spans="1:22" x14ac:dyDescent="0.2">
      <c r="K158" s="165" t="s">
        <v>40</v>
      </c>
      <c r="L158" s="165"/>
      <c r="M158" s="165"/>
      <c r="N158" s="165"/>
      <c r="O158" s="165"/>
      <c r="P158" s="165"/>
      <c r="Q158" s="165"/>
      <c r="R158" s="165"/>
    </row>
    <row r="159" spans="1:22" ht="15" x14ac:dyDescent="0.2">
      <c r="A159" s="63" t="s">
        <v>96</v>
      </c>
    </row>
    <row r="160" spans="1:22" ht="13.5" thickBot="1" x14ac:dyDescent="0.25">
      <c r="K160" t="s">
        <v>88</v>
      </c>
    </row>
    <row r="161" spans="1:22" ht="16.5" thickBot="1" x14ac:dyDescent="0.35">
      <c r="A161" s="5" t="s">
        <v>97</v>
      </c>
      <c r="B161" s="5"/>
      <c r="C161" s="41">
        <v>50</v>
      </c>
      <c r="D161" s="34" t="s">
        <v>95</v>
      </c>
      <c r="F161" s="5" t="s">
        <v>98</v>
      </c>
      <c r="G161" s="5"/>
      <c r="H161" s="41">
        <v>84</v>
      </c>
      <c r="I161" s="34" t="s">
        <v>95</v>
      </c>
      <c r="K161" t="s">
        <v>42</v>
      </c>
    </row>
    <row r="162" spans="1:22" ht="13.5" thickBot="1" x14ac:dyDescent="0.25"/>
    <row r="163" spans="1:22" ht="16.5" thickBot="1" x14ac:dyDescent="0.25">
      <c r="A163" s="5" t="s">
        <v>99</v>
      </c>
      <c r="B163" s="6"/>
      <c r="D163" s="39">
        <v>7.14</v>
      </c>
      <c r="E163" s="10" t="s">
        <v>127</v>
      </c>
      <c r="K163" t="s">
        <v>107</v>
      </c>
    </row>
    <row r="164" spans="1:22" ht="16.5" thickBot="1" x14ac:dyDescent="0.25">
      <c r="A164" s="5" t="s">
        <v>125</v>
      </c>
      <c r="B164" s="6"/>
      <c r="D164" s="39">
        <v>3.57</v>
      </c>
      <c r="E164" s="10" t="s">
        <v>126</v>
      </c>
      <c r="K164" s="165" t="s">
        <v>106</v>
      </c>
      <c r="L164" s="165"/>
      <c r="M164" s="165"/>
      <c r="N164" s="165"/>
      <c r="O164" s="165"/>
      <c r="P164" s="165"/>
      <c r="Q164" s="165"/>
      <c r="R164" s="165"/>
      <c r="S164" s="165"/>
      <c r="T164" s="165"/>
      <c r="U164" s="165"/>
      <c r="V164" s="165"/>
    </row>
    <row r="166" spans="1:22" ht="15" x14ac:dyDescent="0.25">
      <c r="A166" s="36" t="s">
        <v>0</v>
      </c>
      <c r="K166" s="6" t="s">
        <v>259</v>
      </c>
    </row>
    <row r="167" spans="1:22" ht="13.5" thickBot="1" x14ac:dyDescent="0.25">
      <c r="K167" t="s">
        <v>258</v>
      </c>
    </row>
    <row r="168" spans="1:22" ht="16.5" thickBot="1" x14ac:dyDescent="0.35">
      <c r="A168" t="s">
        <v>101</v>
      </c>
      <c r="B168" s="6"/>
      <c r="D168" s="40">
        <f>F157+((C11-H36)*D163)-G12-D164*(C11-C16)</f>
        <v>32.82</v>
      </c>
      <c r="E168" s="5" t="s">
        <v>100</v>
      </c>
    </row>
    <row r="169" spans="1:22" ht="16.5" thickBot="1" x14ac:dyDescent="0.35">
      <c r="A169" t="s">
        <v>102</v>
      </c>
      <c r="B169" s="6"/>
      <c r="D169" s="40">
        <f>C10*D168*8.34</f>
        <v>54.743760000000002</v>
      </c>
      <c r="E169" s="5" t="s">
        <v>204</v>
      </c>
      <c r="K169" s="6" t="s">
        <v>381</v>
      </c>
    </row>
    <row r="170" spans="1:22" x14ac:dyDescent="0.2">
      <c r="I170" s="27"/>
    </row>
    <row r="171" spans="1:22" x14ac:dyDescent="0.2">
      <c r="A171" s="73" t="s">
        <v>103</v>
      </c>
      <c r="I171" s="27"/>
      <c r="K171" s="6" t="s">
        <v>382</v>
      </c>
    </row>
    <row r="172" spans="1:22" ht="13.5" thickBot="1" x14ac:dyDescent="0.25">
      <c r="I172" s="27"/>
      <c r="K172" s="6" t="s">
        <v>376</v>
      </c>
    </row>
    <row r="173" spans="1:22" ht="24" thickBot="1" x14ac:dyDescent="0.4">
      <c r="A173" t="s">
        <v>104</v>
      </c>
      <c r="B173" s="6"/>
      <c r="D173" s="40">
        <f>D169*H161/C161</f>
        <v>91.969516800000008</v>
      </c>
      <c r="E173" s="5" t="s">
        <v>205</v>
      </c>
      <c r="I173" s="25"/>
    </row>
    <row r="174" spans="1:22" x14ac:dyDescent="0.2">
      <c r="K174" s="104" t="s">
        <v>379</v>
      </c>
      <c r="M174" s="151" t="s">
        <v>386</v>
      </c>
      <c r="N174" s="151"/>
      <c r="O174" s="151"/>
      <c r="P174" s="151"/>
      <c r="Q174" s="151"/>
    </row>
    <row r="175" spans="1:22" ht="13.5" thickBot="1" x14ac:dyDescent="0.25">
      <c r="K175" s="6" t="s">
        <v>385</v>
      </c>
    </row>
    <row r="176" spans="1:22" ht="16.5" customHeight="1" x14ac:dyDescent="0.35">
      <c r="B176" s="19"/>
      <c r="C176" s="20"/>
      <c r="D176" s="20"/>
      <c r="E176" s="21"/>
      <c r="F176" s="21"/>
      <c r="G176" s="22"/>
      <c r="H176" s="23"/>
    </row>
    <row r="177" spans="2:17" ht="23.25" x14ac:dyDescent="0.35">
      <c r="B177" s="24" t="s">
        <v>5</v>
      </c>
      <c r="C177" s="25"/>
      <c r="D177" s="25"/>
      <c r="E177" s="26"/>
      <c r="F177" s="26"/>
      <c r="G177" s="25"/>
      <c r="H177" s="28"/>
      <c r="K177" s="104" t="s">
        <v>383</v>
      </c>
      <c r="M177" s="166" t="s">
        <v>377</v>
      </c>
      <c r="N177" s="166"/>
      <c r="O177" s="166"/>
      <c r="P177" s="166"/>
      <c r="Q177" s="166"/>
    </row>
    <row r="178" spans="2:17" ht="18" x14ac:dyDescent="0.25">
      <c r="B178" s="29"/>
      <c r="C178" s="162" t="s">
        <v>2</v>
      </c>
      <c r="D178" s="162"/>
      <c r="E178" s="162"/>
      <c r="F178" s="162"/>
      <c r="G178" s="162"/>
      <c r="H178" s="28"/>
      <c r="K178" s="6" t="s">
        <v>378</v>
      </c>
    </row>
    <row r="179" spans="2:17" ht="13.5" thickBot="1" x14ac:dyDescent="0.25">
      <c r="B179" s="30"/>
      <c r="C179" s="31"/>
      <c r="D179" s="31"/>
      <c r="E179" s="31"/>
      <c r="F179" s="31"/>
      <c r="G179" s="31"/>
      <c r="H179" s="148"/>
    </row>
    <row r="180" spans="2:17" x14ac:dyDescent="0.2">
      <c r="K180" s="104" t="s">
        <v>384</v>
      </c>
      <c r="M180" s="166" t="s">
        <v>380</v>
      </c>
      <c r="N180" s="166"/>
      <c r="O180" s="166"/>
      <c r="P180" s="166"/>
      <c r="Q180" s="166"/>
    </row>
    <row r="181" spans="2:17" x14ac:dyDescent="0.2">
      <c r="B181" s="33" t="s">
        <v>424</v>
      </c>
      <c r="K181" s="6" t="s">
        <v>378</v>
      </c>
    </row>
    <row r="200" spans="1:1" x14ac:dyDescent="0.2">
      <c r="A200" t="s">
        <v>22</v>
      </c>
    </row>
    <row r="201" spans="1:1" x14ac:dyDescent="0.2">
      <c r="A201" t="s">
        <v>23</v>
      </c>
    </row>
    <row r="205" spans="1:1" x14ac:dyDescent="0.2">
      <c r="A205" s="115">
        <v>2</v>
      </c>
    </row>
    <row r="206" spans="1:1" x14ac:dyDescent="0.2">
      <c r="A206" s="115">
        <v>3</v>
      </c>
    </row>
    <row r="207" spans="1:1" x14ac:dyDescent="0.2">
      <c r="A207" s="115">
        <v>4</v>
      </c>
    </row>
    <row r="208" spans="1:1" x14ac:dyDescent="0.2">
      <c r="A208" s="115">
        <v>5</v>
      </c>
    </row>
    <row r="209" spans="1:1" x14ac:dyDescent="0.2">
      <c r="A209" s="115">
        <v>6</v>
      </c>
    </row>
    <row r="210" spans="1:1" x14ac:dyDescent="0.2">
      <c r="A210" s="115">
        <v>9</v>
      </c>
    </row>
  </sheetData>
  <mergeCells count="9">
    <mergeCell ref="C178:G178"/>
    <mergeCell ref="K110:T110"/>
    <mergeCell ref="K164:V164"/>
    <mergeCell ref="H54:I54"/>
    <mergeCell ref="O149:S149"/>
    <mergeCell ref="K153:V153"/>
    <mergeCell ref="K158:R158"/>
    <mergeCell ref="M180:Q180"/>
    <mergeCell ref="M177:Q177"/>
  </mergeCells>
  <phoneticPr fontId="0" type="noConversion"/>
  <dataValidations count="1">
    <dataValidation type="list" allowBlank="1" showInputMessage="1" showErrorMessage="1" sqref="H54" xr:uid="{00000000-0002-0000-0100-000000000000}">
      <formula1>A$200:A$201</formula1>
    </dataValidation>
  </dataValidations>
  <hyperlinks>
    <hyperlink ref="K158:R158" r:id="rId1" display="http://www.headworksinternational.com/userfiles/file/Webinar/BV_Webinar_Slides.pdf" xr:uid="{00000000-0004-0000-0100-000000000000}"/>
    <hyperlink ref="K153" r:id="rId2" xr:uid="{00000000-0004-0000-0100-000001000000}"/>
    <hyperlink ref="O149:S149" r:id="rId3" display="http://www.dsdic2014.hk/ppt/Presentation_(B4-1).pdf" xr:uid="{00000000-0004-0000-0100-000002000000}"/>
    <hyperlink ref="K164" r:id="rId4" xr:uid="{00000000-0004-0000-0100-000003000000}"/>
    <hyperlink ref="M4" r:id="rId5" display="http://www.engineeringexceltemplates.com/downloads_main.aspx" xr:uid="{00000000-0004-0000-0100-000004000000}"/>
    <hyperlink ref="O148:S148" r:id="rId6" display="http://www.dsdic2014.hk/ppt/Presentation_(B4-1).pdf" xr:uid="{00000000-0004-0000-0100-000005000000}"/>
    <hyperlink ref="M1" r:id="rId7" display="http://www.engineeringexceltemplates.com/downloads_main.aspx" xr:uid="{00000000-0004-0000-0100-000006000000}"/>
    <hyperlink ref="O10:S10" r:id="rId8" display="http://www.dsdic2014.hk/ppt/Presentation_(B4-1).pdf" xr:uid="{00000000-0004-0000-0100-000007000000}"/>
    <hyperlink ref="M6" r:id="rId9" display="http://www.engineeringexceltemplates.com/downloads_main.aspx" xr:uid="{00000000-0004-0000-0100-000008000000}"/>
    <hyperlink ref="K110" r:id="rId10" xr:uid="{00000000-0004-0000-0100-000009000000}"/>
    <hyperlink ref="K109" r:id="rId11" display="http://www.xylemwatersolutions.com/scs/sweden/sv-se/produkter/cirkulationspumpar/documents/san3.pdf" xr:uid="{00000000-0004-0000-0100-00000A000000}"/>
    <hyperlink ref="K110:L110" r:id="rId12" location="p2000a1f99976_93002" display=" Standard Handbook of Environmental Engineering, 2nd Ed, Sec 6.5.1. Activated Sludge" xr:uid="{00000000-0004-0000-0100-00000B000000}"/>
    <hyperlink ref="J18" r:id="rId13" display="http://netedu.xauat.edu.cn/jpkc/netedu/jpkc2009/szylyybh/content/wlzy/7/3/The%20Moving%20Bed%20Biofilm%20Reactor.pdf" xr:uid="{00000000-0004-0000-0100-00000C000000}"/>
    <hyperlink ref="M12" r:id="rId14" display="http://www.engineeringexceltemplates.com/downloads_main.aspx" xr:uid="{00000000-0004-0000-0100-00000D000000}"/>
    <hyperlink ref="M8" r:id="rId15" display="http://www.engineeringexceltemplates.com/downloads_main.aspx" xr:uid="{00000000-0004-0000-0100-00000E000000}"/>
    <hyperlink ref="O18:S18" r:id="rId16" display="http://www.dsdic2014.hk/ppt/Presentation_(B4-1).pdf" xr:uid="{00000000-0004-0000-0100-00000F000000}"/>
    <hyperlink ref="J65" r:id="rId17" display="http://www.xylemwatersolutions.com/scs/sweden/sv-se/produkter/cirkulationspumpar/documents/san3.pdf" xr:uid="{00000000-0004-0000-0100-000010000000}"/>
    <hyperlink ref="M30" r:id="rId18" display="http://www.engineeringexceltemplates.com/downloads_main.aspx" xr:uid="{00000000-0004-0000-0100-000011000000}"/>
    <hyperlink ref="M26" r:id="rId19" display="http://www.engineeringexceltemplates.com/downloads_main.aspx" xr:uid="{00000000-0004-0000-0100-000012000000}"/>
    <hyperlink ref="J64" r:id="rId20" display="http://www.xylemwatersolutions.com/scs/sweden/sv-se/produkter/cirkulationspumpar/documents/san3.pdf" xr:uid="{00000000-0004-0000-0100-000013000000}"/>
    <hyperlink ref="I114" r:id="rId21" display="http://www.engineeringexceltemplates.com/downloads_main.aspx" xr:uid="{00000000-0004-0000-0100-000014000000}"/>
    <hyperlink ref="I111" r:id="rId22" location="p2000a1f99976_93002" display=" Standard Handbook of Environmental Engineering, 2nd Ed, Sec 6.5.1. Activated Sludge" xr:uid="{00000000-0004-0000-0100-000015000000}"/>
    <hyperlink ref="M29" r:id="rId23" display="http://www.engineeringexceltemplates.com/downloads_main.aspx" xr:uid="{00000000-0004-0000-0100-000016000000}"/>
    <hyperlink ref="H62" r:id="rId24" location="p2001c2fa9960220001" display="   Biofilm Reactors - WEF MOP 35, Table 5.3. Typical BOD design loading criteria" xr:uid="{00000000-0004-0000-0100-000017000000}"/>
    <hyperlink ref="L19" r:id="rId25" display="http://www.engineeringexceltemplates.com/downloads_main.aspx" xr:uid="{00000000-0004-0000-0100-000018000000}"/>
    <hyperlink ref="L18" r:id="rId26" display="http://www.engineeringexceltemplates.com/downloads_main.aspx" xr:uid="{00000000-0004-0000-0100-000019000000}"/>
    <hyperlink ref="K153:R153" r:id="rId27" display="http://www.headworksinternational.com/userfiles/file/Webinar/BV_Webinar_Slides.pdf" xr:uid="{00000000-0004-0000-0100-00001A000000}"/>
    <hyperlink ref="M28" r:id="rId28" display="http://www.engineeringexceltemplates.com/downloads_main.aspx" xr:uid="{00000000-0004-0000-0100-00001B000000}"/>
    <hyperlink ref="D92" r:id="rId29" display="http://www.engineeringexceltemplates.com/downloads_main.aspx" xr:uid="{00000000-0004-0000-0100-00001C000000}"/>
    <hyperlink ref="C178" r:id="rId30" display="http://www.engineeringexceltemplates.com/downloads_main.aspx" xr:uid="{00000000-0004-0000-0100-00001D000000}"/>
    <hyperlink ref="H57" r:id="rId31" location="p2001c2fa9960220001" display="   Biofilm Reactors - WEF MOP 35, Table 5.3. Typical BOD design loading criteria" xr:uid="{00000000-0004-0000-0100-00001E000000}"/>
    <hyperlink ref="G57" r:id="rId32" location="p2001c2fa9960220001" display="   Biofilm Reactors - WEF MOP 35, Table 5.3. Typical BOD design loading criteria" xr:uid="{00000000-0004-0000-0100-00001F000000}"/>
    <hyperlink ref="B56:C56" r:id="rId33" display="  Moving Bed Biofilm Reactors" xr:uid="{00000000-0004-0000-0100-000020000000}"/>
    <hyperlink ref="F54" r:id="rId34" display="http://netedu.xauat.edu.cn/jpkc/netedu/jpkc2009/szylyybh/content/wlzy/7/3/The%20Moving%20Bed%20Biofilm%20Reactor.pdf" xr:uid="{00000000-0004-0000-0100-000021000000}"/>
    <hyperlink ref="M174:Q174" r:id="rId35" display="Spreadsheets for MBBR Process Design Calculations," xr:uid="{00000000-0004-0000-0100-000022000000}"/>
    <hyperlink ref="M180:Q180" r:id="rId36" display="Biological Wastewater Treatment Process Design Calculations" xr:uid="{00000000-0004-0000-0100-000023000000}"/>
    <hyperlink ref="M177:Q177" r:id="rId37" display="Spreadsheets for MBBR Process Design Calculations," xr:uid="{00000000-0004-0000-0100-000024000000}"/>
    <hyperlink ref="M174" r:id="rId38" xr:uid="{00000000-0004-0000-0100-000025000000}"/>
  </hyperlinks>
  <pageMargins left="0.25" right="0.25" top="0.75" bottom="0.75" header="0.3" footer="0.3"/>
  <pageSetup orientation="portrait" r:id="rId39"/>
  <headerFooter alignWithMargins="0"/>
  <ignoredErrors>
    <ignoredError sqref="C31 I23" unlockedFormula="1"/>
  </ignoredErrors>
  <drawing r:id="rId4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10"/>
  <sheetViews>
    <sheetView zoomScaleNormal="100" workbookViewId="0"/>
  </sheetViews>
  <sheetFormatPr defaultRowHeight="12.75" x14ac:dyDescent="0.2"/>
  <cols>
    <col min="1" max="1" width="12.140625" customWidth="1"/>
    <col min="2" max="2" width="14.140625" customWidth="1"/>
    <col min="5" max="5" width="5.85546875" customWidth="1"/>
    <col min="6" max="6" width="12.42578125" customWidth="1"/>
    <col min="7" max="7" width="12.85546875" customWidth="1"/>
    <col min="8" max="8" width="10" customWidth="1"/>
    <col min="9" max="9" width="10.28515625" customWidth="1"/>
    <col min="10" max="10" width="9" customWidth="1"/>
    <col min="11" max="11" width="10" customWidth="1"/>
    <col min="12" max="12" width="11.5703125" customWidth="1"/>
    <col min="13" max="13" width="14.28515625" customWidth="1"/>
    <col min="19" max="19" width="13.5703125" customWidth="1"/>
  </cols>
  <sheetData>
    <row r="1" spans="1:18" ht="20.25" x14ac:dyDescent="0.3">
      <c r="A1" s="157" t="s">
        <v>182</v>
      </c>
    </row>
    <row r="2" spans="1:18" ht="18" x14ac:dyDescent="0.25">
      <c r="A2" s="2" t="s">
        <v>130</v>
      </c>
    </row>
    <row r="3" spans="1:18" ht="13.5" thickBot="1" x14ac:dyDescent="0.25"/>
    <row r="4" spans="1:18" ht="16.5" thickBot="1" x14ac:dyDescent="0.3">
      <c r="A4" s="57" t="s">
        <v>39</v>
      </c>
      <c r="B4" s="58"/>
      <c r="C4" s="58"/>
      <c r="D4" s="58"/>
      <c r="E4" s="58"/>
      <c r="F4" s="58"/>
      <c r="G4" s="58"/>
      <c r="H4" s="58"/>
      <c r="I4" s="59"/>
    </row>
    <row r="5" spans="1:18" ht="16.5" customHeight="1" x14ac:dyDescent="0.2"/>
    <row r="6" spans="1:18" ht="15.75" x14ac:dyDescent="0.25">
      <c r="A6" s="4" t="s">
        <v>79</v>
      </c>
    </row>
    <row r="7" spans="1:18" ht="17.25" customHeight="1" x14ac:dyDescent="0.2"/>
    <row r="8" spans="1:18" ht="15.75" x14ac:dyDescent="0.25">
      <c r="A8" s="36" t="s">
        <v>111</v>
      </c>
      <c r="B8" s="3"/>
      <c r="C8" s="3"/>
      <c r="D8" s="3"/>
    </row>
    <row r="9" spans="1:18" ht="13.5" thickBot="1" x14ac:dyDescent="0.25"/>
    <row r="10" spans="1:18" ht="18" customHeight="1" thickBot="1" x14ac:dyDescent="0.4">
      <c r="A10" s="10" t="s">
        <v>116</v>
      </c>
      <c r="B10" s="6"/>
      <c r="C10" s="76">
        <v>0.2</v>
      </c>
      <c r="D10" s="34" t="s">
        <v>183</v>
      </c>
      <c r="F10" s="5" t="s">
        <v>81</v>
      </c>
      <c r="G10" s="6"/>
      <c r="H10" s="7">
        <v>180</v>
      </c>
      <c r="I10" s="8" t="s">
        <v>1</v>
      </c>
    </row>
    <row r="11" spans="1:18" ht="18" customHeight="1" thickBot="1" x14ac:dyDescent="0.35">
      <c r="A11" s="5" t="s">
        <v>82</v>
      </c>
      <c r="B11" s="6"/>
      <c r="C11" s="7">
        <v>35</v>
      </c>
      <c r="D11" s="8" t="s">
        <v>1</v>
      </c>
      <c r="F11" s="5" t="s">
        <v>178</v>
      </c>
      <c r="G11" s="6"/>
      <c r="H11" s="7">
        <v>0</v>
      </c>
      <c r="I11" s="8" t="s">
        <v>1</v>
      </c>
      <c r="K11" s="6" t="s">
        <v>315</v>
      </c>
    </row>
    <row r="12" spans="1:18" ht="18" customHeight="1" thickBot="1" x14ac:dyDescent="0.35">
      <c r="A12" s="5" t="s">
        <v>46</v>
      </c>
      <c r="B12" s="3"/>
      <c r="C12" s="7">
        <v>4</v>
      </c>
      <c r="D12" t="s">
        <v>121</v>
      </c>
      <c r="G12" s="7">
        <v>140</v>
      </c>
      <c r="H12" s="5" t="s">
        <v>92</v>
      </c>
      <c r="K12" s="74" t="s">
        <v>316</v>
      </c>
    </row>
    <row r="13" spans="1:18" ht="15.75" customHeight="1" x14ac:dyDescent="0.2">
      <c r="K13" s="74" t="s">
        <v>317</v>
      </c>
    </row>
    <row r="14" spans="1:18" ht="15" x14ac:dyDescent="0.25">
      <c r="A14" s="36" t="s">
        <v>128</v>
      </c>
      <c r="K14" s="6"/>
    </row>
    <row r="15" spans="1:18" ht="18" customHeight="1" thickBot="1" x14ac:dyDescent="0.3">
      <c r="F15" t="s">
        <v>240</v>
      </c>
      <c r="G15" s="5"/>
      <c r="H15" s="9"/>
      <c r="K15" s="47" t="s">
        <v>62</v>
      </c>
      <c r="R15" s="73"/>
    </row>
    <row r="16" spans="1:18" ht="18" customHeight="1" thickBot="1" x14ac:dyDescent="0.25">
      <c r="A16" s="5" t="s">
        <v>252</v>
      </c>
      <c r="C16" s="5"/>
      <c r="F16" s="6" t="s">
        <v>241</v>
      </c>
      <c r="G16" s="6"/>
      <c r="H16" s="7">
        <v>7.5</v>
      </c>
      <c r="I16" s="97">
        <v>15</v>
      </c>
      <c r="K16" s="6" t="s">
        <v>260</v>
      </c>
    </row>
    <row r="17" spans="1:15" ht="18" customHeight="1" thickBot="1" x14ac:dyDescent="0.25">
      <c r="A17" s="5" t="s">
        <v>253</v>
      </c>
      <c r="C17" s="7">
        <v>6</v>
      </c>
      <c r="D17" s="34" t="s">
        <v>17</v>
      </c>
      <c r="F17" s="73" t="s">
        <v>242</v>
      </c>
      <c r="H17" s="7">
        <v>0.92500000000000004</v>
      </c>
      <c r="I17" s="100">
        <v>0.875</v>
      </c>
    </row>
    <row r="18" spans="1:15" ht="17.25" customHeight="1" x14ac:dyDescent="0.2">
      <c r="A18" s="70" t="s">
        <v>47</v>
      </c>
      <c r="E18" s="98" t="s">
        <v>265</v>
      </c>
    </row>
    <row r="19" spans="1:15" ht="17.25" customHeight="1" thickBot="1" x14ac:dyDescent="0.25">
      <c r="A19" s="75" t="s">
        <v>118</v>
      </c>
      <c r="E19" s="99" t="s">
        <v>270</v>
      </c>
    </row>
    <row r="20" spans="1:15" ht="18.75" customHeight="1" thickBot="1" x14ac:dyDescent="0.25">
      <c r="A20" s="5" t="s">
        <v>156</v>
      </c>
      <c r="C20" s="101">
        <f>(I21*C17)+I22</f>
        <v>0.93500000000000005</v>
      </c>
      <c r="D20" s="8"/>
    </row>
    <row r="21" spans="1:15" ht="18" customHeight="1" thickBot="1" x14ac:dyDescent="0.25">
      <c r="A21" s="6" t="s">
        <v>155</v>
      </c>
      <c r="F21" s="6" t="s">
        <v>243</v>
      </c>
      <c r="I21" s="37">
        <f>SLOPE(H17:I17,H16:I16)</f>
        <v>-6.6666666666666723E-3</v>
      </c>
    </row>
    <row r="22" spans="1:15" ht="17.25" customHeight="1" thickBot="1" x14ac:dyDescent="0.25">
      <c r="F22" s="6" t="s">
        <v>244</v>
      </c>
      <c r="I22" s="37">
        <f>INTERCEPT(H17:I17,H16:I16)</f>
        <v>0.97500000000000009</v>
      </c>
    </row>
    <row r="23" spans="1:15" ht="27" customHeight="1" x14ac:dyDescent="0.25">
      <c r="A23" s="36" t="s">
        <v>129</v>
      </c>
    </row>
    <row r="24" spans="1:15" ht="17.25" customHeight="1" thickBot="1" x14ac:dyDescent="0.25">
      <c r="E24" s="5"/>
      <c r="G24" s="5"/>
      <c r="H24" s="9"/>
      <c r="K24" s="117"/>
    </row>
    <row r="25" spans="1:15" ht="18" customHeight="1" thickBot="1" x14ac:dyDescent="0.35">
      <c r="A25" s="5" t="s">
        <v>303</v>
      </c>
      <c r="B25" s="6"/>
      <c r="C25" s="7">
        <v>25</v>
      </c>
      <c r="D25" s="8" t="s">
        <v>1</v>
      </c>
      <c r="E25" s="5" t="s">
        <v>302</v>
      </c>
      <c r="G25" s="5"/>
      <c r="H25" s="7">
        <v>3.3</v>
      </c>
      <c r="I25" s="8" t="s">
        <v>1</v>
      </c>
      <c r="N25" s="85"/>
    </row>
    <row r="26" spans="1:15" ht="18" customHeight="1" thickBot="1" x14ac:dyDescent="0.3">
      <c r="A26" s="6" t="s">
        <v>304</v>
      </c>
      <c r="C26" s="7">
        <v>45</v>
      </c>
      <c r="D26" s="8" t="s">
        <v>305</v>
      </c>
      <c r="E26" s="116"/>
      <c r="F26" s="6" t="s">
        <v>306</v>
      </c>
      <c r="G26" s="6"/>
      <c r="H26" s="97">
        <v>3</v>
      </c>
      <c r="I26" s="8" t="s">
        <v>1</v>
      </c>
      <c r="K26" s="107" t="s">
        <v>432</v>
      </c>
      <c r="O26" s="5"/>
    </row>
    <row r="27" spans="1:15" ht="24" customHeight="1" x14ac:dyDescent="0.2">
      <c r="A27" s="70"/>
      <c r="G27" s="161" t="s">
        <v>435</v>
      </c>
      <c r="K27" s="6" t="s">
        <v>433</v>
      </c>
      <c r="O27" s="5"/>
    </row>
    <row r="28" spans="1:15" ht="18" customHeight="1" x14ac:dyDescent="0.25">
      <c r="A28" s="4" t="s">
        <v>319</v>
      </c>
      <c r="D28" s="34"/>
      <c r="F28" s="102"/>
      <c r="O28" s="5"/>
    </row>
    <row r="29" spans="1:15" ht="18" customHeight="1" thickBot="1" x14ac:dyDescent="0.35">
      <c r="F29" s="99"/>
      <c r="K29" s="6" t="s">
        <v>428</v>
      </c>
      <c r="O29" s="5"/>
    </row>
    <row r="30" spans="1:15" ht="18" customHeight="1" thickBot="1" x14ac:dyDescent="0.35">
      <c r="A30" s="6" t="s">
        <v>320</v>
      </c>
      <c r="C30" s="72">
        <f>(C25-H25)/C25</f>
        <v>0.86799999999999999</v>
      </c>
      <c r="F30" s="5" t="s">
        <v>323</v>
      </c>
      <c r="H30" s="108">
        <f>0.0191*H26^2+0.1287*H26+0.1921</f>
        <v>0.75009999999999999</v>
      </c>
      <c r="I30" s="8" t="s">
        <v>1</v>
      </c>
      <c r="O30" s="5"/>
    </row>
    <row r="31" spans="1:15" ht="20.25" customHeight="1" thickBot="1" x14ac:dyDescent="0.35">
      <c r="A31" s="6" t="s">
        <v>321</v>
      </c>
      <c r="C31" s="108">
        <f>-0.0059*H26^2+0.2429*H26+0.1662</f>
        <v>0.84179999999999999</v>
      </c>
      <c r="D31" s="34" t="s">
        <v>312</v>
      </c>
      <c r="E31" s="5" t="s">
        <v>324</v>
      </c>
      <c r="F31" s="5"/>
      <c r="H31" s="108">
        <f>IF(H25&gt;H30,C31,(H25/(2.2+H25))*3.3)</f>
        <v>0.84179999999999999</v>
      </c>
      <c r="I31" s="34" t="s">
        <v>312</v>
      </c>
      <c r="K31" s="5" t="s">
        <v>425</v>
      </c>
      <c r="O31" s="5"/>
    </row>
    <row r="32" spans="1:15" ht="18" customHeight="1" thickBot="1" x14ac:dyDescent="0.35">
      <c r="E32" s="5" t="s">
        <v>325</v>
      </c>
      <c r="F32" s="5"/>
      <c r="H32" s="108">
        <f>H31*(C33^(((C26-32)/1.8)-15))</f>
        <v>0.54295625328373354</v>
      </c>
      <c r="I32" s="34" t="s">
        <v>312</v>
      </c>
      <c r="O32" s="5"/>
    </row>
    <row r="33" spans="1:16" ht="18" customHeight="1" thickBot="1" x14ac:dyDescent="0.3">
      <c r="A33" s="6" t="s">
        <v>322</v>
      </c>
      <c r="C33" s="129">
        <f>IF(H25&gt;H30,1.058,1.098)</f>
        <v>1.0580000000000001</v>
      </c>
      <c r="D33" s="5" t="s">
        <v>326</v>
      </c>
      <c r="F33" s="5"/>
      <c r="H33" s="108">
        <f>H32/C30</f>
        <v>0.62552563742365619</v>
      </c>
      <c r="I33" s="34" t="s">
        <v>17</v>
      </c>
      <c r="K33" s="5" t="s">
        <v>401</v>
      </c>
    </row>
    <row r="34" spans="1:16" ht="17.25" customHeight="1" x14ac:dyDescent="0.25">
      <c r="K34" s="5" t="s">
        <v>402</v>
      </c>
    </row>
    <row r="35" spans="1:16" ht="18" customHeight="1" x14ac:dyDescent="0.3">
      <c r="A35" s="36" t="s">
        <v>387</v>
      </c>
      <c r="K35" s="5" t="s">
        <v>403</v>
      </c>
      <c r="P35" s="47" t="s">
        <v>404</v>
      </c>
    </row>
    <row r="36" spans="1:16" ht="18" customHeight="1" thickBot="1" x14ac:dyDescent="0.25">
      <c r="E36" s="5"/>
      <c r="F36" t="s">
        <v>240</v>
      </c>
      <c r="G36" s="5"/>
      <c r="H36" s="9"/>
      <c r="K36" s="5" t="s">
        <v>314</v>
      </c>
    </row>
    <row r="37" spans="1:16" ht="18" customHeight="1" thickBot="1" x14ac:dyDescent="0.35">
      <c r="A37" s="5" t="s">
        <v>83</v>
      </c>
      <c r="B37" s="6"/>
      <c r="C37" s="7">
        <v>4</v>
      </c>
      <c r="D37" s="8" t="s">
        <v>1</v>
      </c>
      <c r="E37" s="5"/>
      <c r="F37" s="6" t="s">
        <v>241</v>
      </c>
      <c r="G37" s="6"/>
      <c r="H37" s="7">
        <v>1</v>
      </c>
      <c r="I37" s="97">
        <v>1.8</v>
      </c>
    </row>
    <row r="38" spans="1:16" ht="18" customHeight="1" thickBot="1" x14ac:dyDescent="0.25">
      <c r="A38" s="5" t="s">
        <v>252</v>
      </c>
      <c r="F38" s="73" t="s">
        <v>242</v>
      </c>
      <c r="H38" s="100">
        <v>0.9</v>
      </c>
      <c r="I38" s="100">
        <f>1.6/1.8</f>
        <v>0.88888888888888895</v>
      </c>
    </row>
    <row r="39" spans="1:16" ht="20.25" customHeight="1" thickBot="1" x14ac:dyDescent="0.25">
      <c r="A39" s="5" t="s">
        <v>253</v>
      </c>
      <c r="C39" s="7">
        <v>2</v>
      </c>
      <c r="D39" s="34" t="s">
        <v>17</v>
      </c>
      <c r="F39" s="98" t="s">
        <v>254</v>
      </c>
    </row>
    <row r="40" spans="1:16" ht="18" customHeight="1" x14ac:dyDescent="0.2">
      <c r="A40" s="70" t="s">
        <v>47</v>
      </c>
      <c r="F40" s="102" t="s">
        <v>255</v>
      </c>
    </row>
    <row r="41" spans="1:16" ht="18" customHeight="1" thickBot="1" x14ac:dyDescent="0.25">
      <c r="A41" s="75" t="s">
        <v>118</v>
      </c>
      <c r="F41" s="99" t="s">
        <v>266</v>
      </c>
    </row>
    <row r="42" spans="1:16" ht="17.25" customHeight="1" thickBot="1" x14ac:dyDescent="0.25">
      <c r="A42" s="5" t="s">
        <v>156</v>
      </c>
      <c r="C42" s="103">
        <f>(I42*C39)+I43</f>
        <v>0.88611111111111118</v>
      </c>
      <c r="D42" s="8"/>
      <c r="F42" s="6" t="s">
        <v>243</v>
      </c>
      <c r="I42" s="37">
        <f>SLOPE(H38:I38,H37:I37)</f>
        <v>-1.388888888888884E-2</v>
      </c>
    </row>
    <row r="43" spans="1:16" ht="18" customHeight="1" thickBot="1" x14ac:dyDescent="0.25">
      <c r="A43" s="6" t="s">
        <v>155</v>
      </c>
      <c r="F43" s="6" t="s">
        <v>244</v>
      </c>
      <c r="I43" s="37">
        <f>INTERCEPT(H38:I38,H37:I37)</f>
        <v>0.91388888888888886</v>
      </c>
    </row>
    <row r="44" spans="1:16" ht="17.25" customHeight="1" x14ac:dyDescent="0.2"/>
    <row r="45" spans="1:16" ht="17.25" customHeight="1" x14ac:dyDescent="0.25">
      <c r="A45" s="4" t="s">
        <v>115</v>
      </c>
      <c r="B45" s="3"/>
    </row>
    <row r="46" spans="1:16" ht="16.5" customHeight="1" thickBot="1" x14ac:dyDescent="0.25"/>
    <row r="47" spans="1:16" ht="18.75" customHeight="1" thickBot="1" x14ac:dyDescent="0.3">
      <c r="A47" t="s">
        <v>84</v>
      </c>
      <c r="B47" s="6"/>
      <c r="C47" s="40">
        <f>H10/C11</f>
        <v>5.1428571428571432</v>
      </c>
      <c r="E47" s="71" t="str">
        <f>IF(C47&lt;4,"Use this Worksheet for Post-Anoxic",IF(C48&gt;0.75,"Use this Worksheet for Post-Anoxic","Use Worksheet 2 for Pre-Anoxic"))</f>
        <v>Use this Worksheet for Post-Anoxic</v>
      </c>
    </row>
    <row r="48" spans="1:16" ht="18" customHeight="1" thickBot="1" x14ac:dyDescent="0.3">
      <c r="A48" t="s">
        <v>85</v>
      </c>
      <c r="C48" s="72">
        <f>(C11-C37)/C11</f>
        <v>0.88571428571428568</v>
      </c>
      <c r="E48" s="71" t="s">
        <v>132</v>
      </c>
      <c r="K48" t="s">
        <v>267</v>
      </c>
    </row>
    <row r="49" spans="1:11" ht="18" customHeight="1" x14ac:dyDescent="0.2">
      <c r="K49" t="s">
        <v>268</v>
      </c>
    </row>
    <row r="50" spans="1:11" ht="18" customHeight="1" x14ac:dyDescent="0.25">
      <c r="A50" s="4" t="s">
        <v>119</v>
      </c>
    </row>
    <row r="51" spans="1:11" ht="18" customHeight="1" thickBot="1" x14ac:dyDescent="0.3">
      <c r="K51" s="47" t="s">
        <v>89</v>
      </c>
    </row>
    <row r="52" spans="1:11" ht="18" customHeight="1" thickBot="1" x14ac:dyDescent="0.25">
      <c r="A52" s="5" t="s">
        <v>48</v>
      </c>
      <c r="B52" s="5"/>
      <c r="C52" s="35">
        <v>500</v>
      </c>
      <c r="D52" s="34" t="s">
        <v>18</v>
      </c>
      <c r="E52" s="43" t="s">
        <v>25</v>
      </c>
      <c r="F52" s="60"/>
      <c r="G52" s="44"/>
      <c r="K52" t="s">
        <v>122</v>
      </c>
    </row>
    <row r="53" spans="1:11" ht="18" customHeight="1" thickBot="1" x14ac:dyDescent="0.25">
      <c r="A53" s="42" t="s">
        <v>237</v>
      </c>
      <c r="B53" s="6"/>
      <c r="C53" s="34"/>
      <c r="D53" s="34"/>
      <c r="E53" s="61" t="s">
        <v>26</v>
      </c>
      <c r="F53" s="45"/>
      <c r="G53" s="46"/>
      <c r="H53" s="163" t="s">
        <v>23</v>
      </c>
      <c r="I53" s="164"/>
    </row>
    <row r="54" spans="1:11" ht="18" customHeight="1" thickBot="1" x14ac:dyDescent="0.3">
      <c r="A54" s="5" t="s">
        <v>24</v>
      </c>
      <c r="B54" s="5"/>
      <c r="C54" s="35">
        <v>8</v>
      </c>
      <c r="D54" s="34" t="s">
        <v>184</v>
      </c>
      <c r="F54" s="5" t="s">
        <v>53</v>
      </c>
      <c r="G54" s="5"/>
      <c r="H54" s="50">
        <v>0.6</v>
      </c>
      <c r="K54" s="74" t="s">
        <v>90</v>
      </c>
    </row>
    <row r="55" spans="1:11" ht="18" customHeight="1" thickBot="1" x14ac:dyDescent="0.25">
      <c r="A55" t="s">
        <v>28</v>
      </c>
      <c r="C55" s="62">
        <v>1.5</v>
      </c>
      <c r="F55" s="66" t="s">
        <v>54</v>
      </c>
      <c r="H55" s="49"/>
    </row>
    <row r="56" spans="1:11" ht="15.75" customHeight="1" x14ac:dyDescent="0.25">
      <c r="A56" s="65" t="s">
        <v>291</v>
      </c>
      <c r="F56" s="66" t="s">
        <v>55</v>
      </c>
      <c r="K56" s="74" t="s">
        <v>91</v>
      </c>
    </row>
    <row r="57" spans="1:11" ht="18" customHeight="1" x14ac:dyDescent="0.2"/>
    <row r="58" spans="1:11" ht="18" customHeight="1" x14ac:dyDescent="0.25">
      <c r="A58" s="4" t="s">
        <v>120</v>
      </c>
      <c r="K58" s="92" t="s">
        <v>220</v>
      </c>
    </row>
    <row r="59" spans="1:11" ht="18" customHeight="1" x14ac:dyDescent="0.2"/>
    <row r="60" spans="1:11" ht="18.75" customHeight="1" x14ac:dyDescent="0.35">
      <c r="A60" s="36" t="s">
        <v>198</v>
      </c>
      <c r="F60" s="64" t="s">
        <v>279</v>
      </c>
      <c r="K60" s="93" t="s">
        <v>234</v>
      </c>
    </row>
    <row r="61" spans="1:11" ht="18" customHeight="1" thickBot="1" x14ac:dyDescent="0.3">
      <c r="F61" s="109" t="s">
        <v>280</v>
      </c>
      <c r="K61" s="93" t="s">
        <v>231</v>
      </c>
    </row>
    <row r="62" spans="1:11" ht="18" customHeight="1" thickBot="1" x14ac:dyDescent="0.3">
      <c r="A62" s="5" t="s">
        <v>49</v>
      </c>
      <c r="B62" s="6"/>
      <c r="C62" s="12">
        <v>0.6</v>
      </c>
      <c r="D62" s="112" t="s">
        <v>293</v>
      </c>
      <c r="F62" s="110" t="s">
        <v>281</v>
      </c>
      <c r="K62" s="94" t="s">
        <v>209</v>
      </c>
    </row>
    <row r="63" spans="1:11" ht="18" customHeight="1" thickBot="1" x14ac:dyDescent="0.3">
      <c r="A63" t="s">
        <v>201</v>
      </c>
      <c r="B63" s="6"/>
      <c r="C63" s="40">
        <f>C$10*H10*8.34</f>
        <v>300.24</v>
      </c>
      <c r="D63" s="38" t="s">
        <v>185</v>
      </c>
      <c r="F63" t="s">
        <v>203</v>
      </c>
      <c r="G63" s="6"/>
      <c r="H63" s="40">
        <f>C66/C$62</f>
        <v>75.658811999999998</v>
      </c>
      <c r="I63" s="34" t="s">
        <v>20</v>
      </c>
      <c r="K63" s="93" t="s">
        <v>210</v>
      </c>
    </row>
    <row r="64" spans="1:11" ht="18" customHeight="1" thickBot="1" x14ac:dyDescent="0.3">
      <c r="A64" t="s">
        <v>201</v>
      </c>
      <c r="C64" s="41">
        <f>C63*453.59</f>
        <v>136185.8616</v>
      </c>
      <c r="D64" s="38" t="s">
        <v>19</v>
      </c>
      <c r="H64" s="40">
        <f>H63/(0.3048^3)</f>
        <v>2671.865730323761</v>
      </c>
      <c r="I64" s="34" t="s">
        <v>186</v>
      </c>
      <c r="K64" s="95" t="s">
        <v>211</v>
      </c>
    </row>
    <row r="65" spans="1:11" ht="20.25" customHeight="1" thickBot="1" x14ac:dyDescent="0.3">
      <c r="A65" t="s">
        <v>60</v>
      </c>
      <c r="B65" s="6"/>
      <c r="C65" s="41">
        <f>C64/C17</f>
        <v>22697.643599999999</v>
      </c>
      <c r="D65" s="34" t="s">
        <v>21</v>
      </c>
      <c r="H65" s="41">
        <f>H64*7.48</f>
        <v>19985.555662821735</v>
      </c>
      <c r="I65" s="34" t="s">
        <v>202</v>
      </c>
      <c r="K65" s="95" t="s">
        <v>212</v>
      </c>
    </row>
    <row r="66" spans="1:11" ht="18" customHeight="1" thickBot="1" x14ac:dyDescent="0.25">
      <c r="A66" t="s">
        <v>61</v>
      </c>
      <c r="B66" s="6"/>
      <c r="C66" s="39">
        <f>C65/C$52</f>
        <v>45.395287199999999</v>
      </c>
      <c r="D66" s="34" t="s">
        <v>20</v>
      </c>
      <c r="F66" t="str">
        <f>IF(H53="cylindrical","Calculated Tank Diam.  =","  Calculated Tank Width =")</f>
        <v xml:space="preserve">  Calculated Tank Width =</v>
      </c>
      <c r="H66" s="40">
        <f>IF(H$53="cylindrical",((H64/C$54)*4/PI())^0.5,((H64/C$54)/C$55)^0.5)</f>
        <v>14.921644598601727</v>
      </c>
      <c r="I66" s="34" t="s">
        <v>184</v>
      </c>
    </row>
    <row r="67" spans="1:11" ht="18" customHeight="1" thickBot="1" x14ac:dyDescent="0.3">
      <c r="A67" s="6" t="s">
        <v>177</v>
      </c>
      <c r="C67" s="40">
        <f>H64-((1-H$54)*(C66*(3.2808^3)))</f>
        <v>2030.6413474804458</v>
      </c>
      <c r="D67" s="34" t="s">
        <v>186</v>
      </c>
      <c r="F67" t="str">
        <f>IF(H53="cylindrical","","  Calculated Tank Length =")</f>
        <v xml:space="preserve">  Calculated Tank Length =</v>
      </c>
      <c r="H67" s="40">
        <f>IF(H$53="cylindrical","",(H64/C$54)/H66)</f>
        <v>22.382466897902589</v>
      </c>
      <c r="I67" s="34" t="s">
        <v>184</v>
      </c>
      <c r="K67" s="96" t="s">
        <v>213</v>
      </c>
    </row>
    <row r="68" spans="1:11" ht="18" customHeight="1" thickBot="1" x14ac:dyDescent="0.3">
      <c r="E68" s="6" t="s">
        <v>161</v>
      </c>
      <c r="K68" s="93" t="s">
        <v>214</v>
      </c>
    </row>
    <row r="69" spans="1:11" ht="18" customHeight="1" thickBot="1" x14ac:dyDescent="0.3">
      <c r="A69" s="6" t="s">
        <v>173</v>
      </c>
      <c r="F69" t="s">
        <v>171</v>
      </c>
      <c r="H69" s="41">
        <f>C67*7.48/(C$10*1000000/(24*60))</f>
        <v>109.3622204099069</v>
      </c>
      <c r="I69" s="34" t="s">
        <v>27</v>
      </c>
      <c r="K69" s="93" t="s">
        <v>215</v>
      </c>
    </row>
    <row r="70" spans="1:11" ht="18" customHeight="1" thickBot="1" x14ac:dyDescent="0.3">
      <c r="A70" s="6" t="s">
        <v>163</v>
      </c>
      <c r="C70" s="39">
        <f>C20*C17</f>
        <v>5.61</v>
      </c>
      <c r="D70" s="34" t="s">
        <v>17</v>
      </c>
      <c r="F70" t="s">
        <v>172</v>
      </c>
      <c r="H70" s="40">
        <f>H69/C$12</f>
        <v>27.340555102476724</v>
      </c>
      <c r="I70" s="34" t="s">
        <v>27</v>
      </c>
      <c r="K70" s="93" t="s">
        <v>216</v>
      </c>
    </row>
    <row r="71" spans="1:11" ht="18" customHeight="1" thickBot="1" x14ac:dyDescent="0.3">
      <c r="A71" s="84" t="s">
        <v>174</v>
      </c>
      <c r="B71" s="6"/>
      <c r="C71" s="41">
        <f>C70*C65</f>
        <v>127333.780596</v>
      </c>
      <c r="D71" s="38" t="s">
        <v>19</v>
      </c>
      <c r="E71" t="s">
        <v>175</v>
      </c>
      <c r="F71" s="84"/>
      <c r="G71" s="6"/>
      <c r="H71" s="41">
        <f>(C63-C72)/C10/8.34</f>
        <v>11.700000000000005</v>
      </c>
      <c r="I71" s="38" t="s">
        <v>1</v>
      </c>
      <c r="K71" s="93" t="s">
        <v>225</v>
      </c>
    </row>
    <row r="72" spans="1:11" ht="15" customHeight="1" thickBot="1" x14ac:dyDescent="0.4">
      <c r="C72" s="40">
        <f>C71/453.59</f>
        <v>280.7244</v>
      </c>
      <c r="D72" s="8" t="s">
        <v>185</v>
      </c>
      <c r="E72" s="102" t="s">
        <v>292</v>
      </c>
      <c r="K72" s="93" t="s">
        <v>228</v>
      </c>
    </row>
    <row r="73" spans="1:11" ht="18" customHeight="1" x14ac:dyDescent="0.2">
      <c r="E73" s="102" t="s">
        <v>300</v>
      </c>
    </row>
    <row r="74" spans="1:11" ht="18" customHeight="1" x14ac:dyDescent="0.25">
      <c r="A74" s="36" t="s">
        <v>199</v>
      </c>
      <c r="F74" s="99"/>
      <c r="K74" s="92" t="s">
        <v>226</v>
      </c>
    </row>
    <row r="75" spans="1:11" ht="18" customHeight="1" thickBot="1" x14ac:dyDescent="0.25"/>
    <row r="76" spans="1:11" ht="18" customHeight="1" thickBot="1" x14ac:dyDescent="0.4">
      <c r="A76" s="5" t="s">
        <v>49</v>
      </c>
      <c r="B76" s="6"/>
      <c r="C76" s="111">
        <v>0.7</v>
      </c>
      <c r="D76" s="112" t="s">
        <v>294</v>
      </c>
      <c r="H76" s="40">
        <f>H78-((1-H$54)*(C80*(3.2808^3)))</f>
        <v>3075.4464755912613</v>
      </c>
      <c r="I76" s="34" t="s">
        <v>186</v>
      </c>
      <c r="K76" s="94" t="s">
        <v>229</v>
      </c>
    </row>
    <row r="77" spans="1:11" ht="18" customHeight="1" thickBot="1" x14ac:dyDescent="0.4">
      <c r="A77" t="s">
        <v>57</v>
      </c>
      <c r="B77" s="6"/>
      <c r="C77" s="40">
        <f>C$10*(C11)*8.34</f>
        <v>58.379999999999995</v>
      </c>
      <c r="D77" s="38" t="s">
        <v>185</v>
      </c>
      <c r="F77" t="s">
        <v>203</v>
      </c>
      <c r="G77" s="6"/>
      <c r="H77" s="40">
        <f>C80/C$76</f>
        <v>120.95237584763896</v>
      </c>
      <c r="I77" s="34" t="s">
        <v>20</v>
      </c>
      <c r="K77" s="93" t="s">
        <v>230</v>
      </c>
    </row>
    <row r="78" spans="1:11" ht="18" customHeight="1" thickBot="1" x14ac:dyDescent="0.35">
      <c r="A78" t="s">
        <v>57</v>
      </c>
      <c r="C78" s="41">
        <f>C77*453.59</f>
        <v>26480.584199999998</v>
      </c>
      <c r="D78" s="38" t="s">
        <v>19</v>
      </c>
      <c r="H78" s="40">
        <f>H77/(0.3048^3)</f>
        <v>4271.3928422315958</v>
      </c>
      <c r="I78" s="34" t="s">
        <v>186</v>
      </c>
      <c r="K78" s="93" t="s">
        <v>221</v>
      </c>
    </row>
    <row r="79" spans="1:11" ht="18" customHeight="1" thickBot="1" x14ac:dyDescent="0.3">
      <c r="A79" t="s">
        <v>60</v>
      </c>
      <c r="B79" s="6"/>
      <c r="C79" s="41">
        <f>C78/H33</f>
        <v>42333.331546673631</v>
      </c>
      <c r="D79" s="34" t="s">
        <v>21</v>
      </c>
      <c r="H79" s="41">
        <f>H78*7.48</f>
        <v>31950.018459892337</v>
      </c>
      <c r="I79" s="34" t="s">
        <v>202</v>
      </c>
      <c r="K79" s="93" t="s">
        <v>222</v>
      </c>
    </row>
    <row r="80" spans="1:11" ht="18" customHeight="1" thickBot="1" x14ac:dyDescent="0.25">
      <c r="A80" t="s">
        <v>61</v>
      </c>
      <c r="B80" s="6"/>
      <c r="C80" s="39">
        <f>C79/C$52</f>
        <v>84.666663093347267</v>
      </c>
      <c r="D80" s="34" t="s">
        <v>20</v>
      </c>
      <c r="F80" t="str">
        <f>IF(H53="cylindrical","Calculated Tank Diam.  =","  Calculated Tank Width =")</f>
        <v xml:space="preserve">  Calculated Tank Width =</v>
      </c>
      <c r="H80" s="40">
        <f>IF(H$53="cylindrical",((H78/C$54)*4/PI())^0.5,((H78/C$54)/C$55)^0.5)</f>
        <v>18.866621412412442</v>
      </c>
      <c r="I80" s="34" t="s">
        <v>184</v>
      </c>
    </row>
    <row r="81" spans="1:12" ht="18" customHeight="1" thickBot="1" x14ac:dyDescent="0.3">
      <c r="A81" s="6"/>
      <c r="F81" t="str">
        <f>IF(H53="cylindrical","","  Calculated Tank Length =")</f>
        <v xml:space="preserve">  Calculated Tank Length =</v>
      </c>
      <c r="H81" s="40">
        <f>IF(H$53="cylindrical","",(H78/C$54)/H80)</f>
        <v>28.299932118618663</v>
      </c>
      <c r="I81" s="34" t="s">
        <v>184</v>
      </c>
      <c r="K81" s="96" t="s">
        <v>223</v>
      </c>
    </row>
    <row r="82" spans="1:12" ht="18" customHeight="1" thickBot="1" x14ac:dyDescent="0.3">
      <c r="A82" t="s">
        <v>282</v>
      </c>
      <c r="E82" s="6" t="s">
        <v>161</v>
      </c>
      <c r="K82" s="93" t="s">
        <v>224</v>
      </c>
    </row>
    <row r="83" spans="1:12" ht="18" customHeight="1" thickBot="1" x14ac:dyDescent="0.4">
      <c r="A83" t="s">
        <v>283</v>
      </c>
      <c r="C83" s="113">
        <f>H63-H77</f>
        <v>-45.293563847638964</v>
      </c>
      <c r="E83" s="102"/>
      <c r="F83" t="s">
        <v>171</v>
      </c>
      <c r="H83" s="41">
        <f>H76*7.48/(C$10*1000000/(24*60))</f>
        <v>165.631245389443</v>
      </c>
      <c r="I83" s="34" t="s">
        <v>27</v>
      </c>
      <c r="K83" s="93" t="s">
        <v>227</v>
      </c>
    </row>
    <row r="84" spans="1:12" ht="17.25" customHeight="1" thickBot="1" x14ac:dyDescent="0.4">
      <c r="A84" s="98" t="s">
        <v>295</v>
      </c>
      <c r="F84" t="s">
        <v>172</v>
      </c>
      <c r="H84" s="41">
        <f>H83/C$12</f>
        <v>41.407811347360749</v>
      </c>
      <c r="I84" s="34" t="s">
        <v>27</v>
      </c>
      <c r="K84" s="93" t="s">
        <v>233</v>
      </c>
    </row>
    <row r="85" spans="1:12" ht="18.75" customHeight="1" thickBot="1" x14ac:dyDescent="0.25">
      <c r="A85" s="102" t="s">
        <v>296</v>
      </c>
      <c r="F85" s="84"/>
      <c r="G85" s="6"/>
      <c r="H85" s="38"/>
      <c r="I85" s="38"/>
    </row>
    <row r="86" spans="1:12" ht="18" customHeight="1" thickBot="1" x14ac:dyDescent="0.25">
      <c r="A86" s="102" t="s">
        <v>399</v>
      </c>
      <c r="F86" s="104" t="s">
        <v>301</v>
      </c>
      <c r="H86" s="108">
        <f>C10*H71*8.34*453.59/(C79)</f>
        <v>0.20910428451019375</v>
      </c>
      <c r="I86" s="34" t="s">
        <v>17</v>
      </c>
    </row>
    <row r="87" spans="1:12" ht="15.75" customHeight="1" x14ac:dyDescent="0.2">
      <c r="F87" s="104" t="s">
        <v>276</v>
      </c>
    </row>
    <row r="88" spans="1:12" ht="15" x14ac:dyDescent="0.25">
      <c r="A88" s="36" t="s">
        <v>200</v>
      </c>
      <c r="F88" s="107" t="s">
        <v>277</v>
      </c>
      <c r="K88" s="92" t="s">
        <v>235</v>
      </c>
    </row>
    <row r="89" spans="1:12" ht="18" customHeight="1" thickBot="1" x14ac:dyDescent="0.25"/>
    <row r="90" spans="1:12" ht="18" customHeight="1" thickBot="1" x14ac:dyDescent="0.4">
      <c r="A90" s="5" t="s">
        <v>49</v>
      </c>
      <c r="B90" s="6"/>
      <c r="C90" s="111">
        <v>0.31700276847672698</v>
      </c>
      <c r="D90" s="112" t="s">
        <v>298</v>
      </c>
      <c r="H90" s="39">
        <f>C94/C$90</f>
        <v>75.658151249744662</v>
      </c>
      <c r="I90" s="34" t="s">
        <v>20</v>
      </c>
      <c r="K90" s="93" t="s">
        <v>264</v>
      </c>
    </row>
    <row r="91" spans="1:12" ht="18" customHeight="1" thickBot="1" x14ac:dyDescent="0.35">
      <c r="A91" t="s">
        <v>123</v>
      </c>
      <c r="B91" s="6"/>
      <c r="C91" s="40">
        <f>C$10*(C11-H25)*8.34</f>
        <v>52.875599999999999</v>
      </c>
      <c r="D91" s="38" t="s">
        <v>185</v>
      </c>
      <c r="F91" s="112" t="s">
        <v>297</v>
      </c>
      <c r="H91" s="40">
        <f>H90/(0.3048^3)</f>
        <v>2671.8423961487078</v>
      </c>
      <c r="I91" s="34" t="s">
        <v>186</v>
      </c>
      <c r="K91" s="93" t="s">
        <v>232</v>
      </c>
    </row>
    <row r="92" spans="1:12" ht="18" customHeight="1" thickBot="1" x14ac:dyDescent="0.35">
      <c r="A92" t="s">
        <v>123</v>
      </c>
      <c r="C92" s="41">
        <f>C91*453.59</f>
        <v>23983.843403999999</v>
      </c>
      <c r="D92" s="38" t="s">
        <v>19</v>
      </c>
      <c r="H92" s="41">
        <f>H91*7.48</f>
        <v>19985.381123192336</v>
      </c>
      <c r="I92" s="34" t="s">
        <v>202</v>
      </c>
      <c r="K92" s="93" t="s">
        <v>221</v>
      </c>
      <c r="L92" s="85"/>
    </row>
    <row r="93" spans="1:12" ht="18" customHeight="1" thickBot="1" x14ac:dyDescent="0.3">
      <c r="A93" t="s">
        <v>60</v>
      </c>
      <c r="B93" s="6"/>
      <c r="C93" s="41">
        <f>C92/C39</f>
        <v>11991.921702</v>
      </c>
      <c r="D93" s="34" t="s">
        <v>21</v>
      </c>
      <c r="F93" t="str">
        <f>IF(H81="cylindrical","Calculated Tank Diam.  =","  Calculated Tank Width =")</f>
        <v xml:space="preserve">  Calculated Tank Width =</v>
      </c>
      <c r="H93" s="40">
        <f>IF(H$53="cylindrical",((H91/C$54)*4/PI())^0.5,((H91/C$54)/C$55)^0.5)</f>
        <v>14.921579440943654</v>
      </c>
      <c r="I93" s="34" t="s">
        <v>184</v>
      </c>
      <c r="K93" s="93" t="s">
        <v>222</v>
      </c>
    </row>
    <row r="94" spans="1:12" ht="18" customHeight="1" thickBot="1" x14ac:dyDescent="0.25">
      <c r="A94" t="s">
        <v>61</v>
      </c>
      <c r="B94" s="6"/>
      <c r="C94" s="39">
        <f>C93/C$52</f>
        <v>23.983843403999998</v>
      </c>
      <c r="D94" s="34" t="s">
        <v>20</v>
      </c>
      <c r="F94" t="str">
        <f>IF(H81="cylindrical","","  Calculated Tank Length =")</f>
        <v xml:space="preserve">  Calculated Tank Length =</v>
      </c>
      <c r="H94" s="40">
        <f>IF(H$53="cylindrical","",(H91/C$54)/H93)</f>
        <v>22.382369161415479</v>
      </c>
      <c r="I94" s="34" t="s">
        <v>184</v>
      </c>
    </row>
    <row r="95" spans="1:12" ht="15.95" customHeight="1" thickBot="1" x14ac:dyDescent="0.3">
      <c r="A95" s="6" t="s">
        <v>179</v>
      </c>
      <c r="C95" s="40">
        <f>H91-((1-H$54)*(C94*(3.2808^3)))</f>
        <v>2333.0621805464898</v>
      </c>
      <c r="D95" s="34" t="s">
        <v>186</v>
      </c>
      <c r="E95" s="6" t="s">
        <v>161</v>
      </c>
      <c r="K95" s="96" t="s">
        <v>223</v>
      </c>
    </row>
    <row r="96" spans="1:12" ht="18.75" customHeight="1" thickBot="1" x14ac:dyDescent="0.35">
      <c r="A96" s="6" t="s">
        <v>162</v>
      </c>
      <c r="F96" t="s">
        <v>171</v>
      </c>
      <c r="H96" s="41">
        <f>C95*7.48/(C$10*1000000/(24*60))</f>
        <v>125.64939679551176</v>
      </c>
      <c r="I96" s="34" t="s">
        <v>27</v>
      </c>
      <c r="K96" s="93" t="s">
        <v>224</v>
      </c>
    </row>
    <row r="97" spans="1:20" ht="18.75" thickBot="1" x14ac:dyDescent="0.4">
      <c r="A97" s="6" t="s">
        <v>163</v>
      </c>
      <c r="C97" s="39">
        <f>C42*C39</f>
        <v>1.7722222222222224</v>
      </c>
      <c r="D97" s="34" t="s">
        <v>17</v>
      </c>
      <c r="F97" t="s">
        <v>172</v>
      </c>
      <c r="H97" s="41">
        <f>H96/C$12</f>
        <v>31.412349198877941</v>
      </c>
      <c r="I97" s="34" t="s">
        <v>27</v>
      </c>
      <c r="K97" s="93" t="s">
        <v>219</v>
      </c>
    </row>
    <row r="98" spans="1:20" ht="18" customHeight="1" thickBot="1" x14ac:dyDescent="0.4">
      <c r="A98" s="6" t="s">
        <v>180</v>
      </c>
      <c r="B98" s="6"/>
      <c r="C98" s="41">
        <f>C97*C93</f>
        <v>21252.350127433336</v>
      </c>
      <c r="D98" s="38" t="s">
        <v>19</v>
      </c>
      <c r="E98" s="6" t="s">
        <v>181</v>
      </c>
      <c r="F98" s="84"/>
      <c r="G98" s="6"/>
      <c r="H98" s="40">
        <f>(C91-C99)/C10/8.34</f>
        <v>3.6102777777777733</v>
      </c>
      <c r="I98" s="38" t="s">
        <v>1</v>
      </c>
      <c r="K98" s="93" t="s">
        <v>217</v>
      </c>
    </row>
    <row r="99" spans="1:20" ht="18" customHeight="1" thickBot="1" x14ac:dyDescent="0.4">
      <c r="C99" s="40">
        <f>C98/453.59</f>
        <v>46.853656666666673</v>
      </c>
      <c r="D99" s="8" t="s">
        <v>185</v>
      </c>
      <c r="F99" s="102" t="s">
        <v>256</v>
      </c>
      <c r="K99" s="93" t="s">
        <v>236</v>
      </c>
      <c r="L99" s="85"/>
    </row>
    <row r="100" spans="1:20" ht="15.95" customHeight="1" thickBot="1" x14ac:dyDescent="0.25">
      <c r="A100" t="s">
        <v>282</v>
      </c>
      <c r="F100" s="102" t="s">
        <v>251</v>
      </c>
      <c r="H100" s="34"/>
      <c r="I100" s="34"/>
    </row>
    <row r="101" spans="1:20" ht="19.5" customHeight="1" thickBot="1" x14ac:dyDescent="0.25">
      <c r="A101" t="s">
        <v>299</v>
      </c>
      <c r="C101" s="113">
        <f>H63-H90</f>
        <v>6.6075025533507414E-4</v>
      </c>
      <c r="F101" s="102" t="s">
        <v>257</v>
      </c>
    </row>
    <row r="102" spans="1:20" ht="18" customHeight="1" x14ac:dyDescent="0.25">
      <c r="A102" s="98" t="s">
        <v>288</v>
      </c>
      <c r="K102" s="47" t="s">
        <v>67</v>
      </c>
    </row>
    <row r="103" spans="1:20" ht="18" customHeight="1" x14ac:dyDescent="0.2">
      <c r="A103" s="102" t="s">
        <v>284</v>
      </c>
      <c r="K103" t="s">
        <v>63</v>
      </c>
    </row>
    <row r="104" spans="1:20" ht="15.95" customHeight="1" x14ac:dyDescent="0.2">
      <c r="A104" s="102" t="s">
        <v>400</v>
      </c>
      <c r="K104" s="165" t="s">
        <v>56</v>
      </c>
      <c r="L104" s="165"/>
      <c r="M104" s="165"/>
      <c r="N104" s="165"/>
      <c r="O104" s="165"/>
      <c r="P104" s="165"/>
      <c r="Q104" s="165"/>
      <c r="R104" s="165"/>
      <c r="S104" s="165"/>
      <c r="T104" s="165"/>
    </row>
    <row r="105" spans="1:20" ht="15.95" customHeight="1" x14ac:dyDescent="0.2"/>
    <row r="106" spans="1:20" ht="18" customHeight="1" x14ac:dyDescent="0.25">
      <c r="A106" s="4" t="s">
        <v>333</v>
      </c>
      <c r="K106" t="s">
        <v>64</v>
      </c>
    </row>
    <row r="107" spans="1:20" ht="19.5" customHeight="1" x14ac:dyDescent="0.2">
      <c r="N107" s="42" t="s">
        <v>405</v>
      </c>
    </row>
    <row r="108" spans="1:20" ht="17.25" customHeight="1" x14ac:dyDescent="0.25">
      <c r="A108" s="36" t="s">
        <v>80</v>
      </c>
      <c r="B108" s="6"/>
      <c r="K108" t="s">
        <v>65</v>
      </c>
    </row>
    <row r="109" spans="1:20" ht="16.5" customHeight="1" thickBot="1" x14ac:dyDescent="0.25">
      <c r="A109" s="42"/>
      <c r="E109" s="65"/>
      <c r="M109" s="42" t="s">
        <v>406</v>
      </c>
    </row>
    <row r="110" spans="1:20" ht="16.5" customHeight="1" thickBot="1" x14ac:dyDescent="0.35">
      <c r="A110" s="5" t="s">
        <v>135</v>
      </c>
      <c r="B110" s="6"/>
      <c r="C110" s="51">
        <v>1.5</v>
      </c>
      <c r="D110" s="10" t="s">
        <v>188</v>
      </c>
      <c r="F110" t="s">
        <v>29</v>
      </c>
      <c r="H110" s="48">
        <v>7.5</v>
      </c>
      <c r="I110" s="34" t="s">
        <v>184</v>
      </c>
      <c r="K110" t="s">
        <v>131</v>
      </c>
    </row>
    <row r="111" spans="1:20" ht="18" customHeight="1" thickBot="1" x14ac:dyDescent="0.25">
      <c r="A111" s="5" t="s">
        <v>70</v>
      </c>
      <c r="B111" s="6"/>
      <c r="C111" s="53">
        <v>7.4999999999999997E-3</v>
      </c>
      <c r="D111" s="10" t="s">
        <v>190</v>
      </c>
      <c r="F111" t="s">
        <v>30</v>
      </c>
      <c r="H111" s="11">
        <v>68</v>
      </c>
      <c r="I111" s="52" t="s">
        <v>192</v>
      </c>
    </row>
    <row r="112" spans="1:20" ht="18" customHeight="1" thickBot="1" x14ac:dyDescent="0.25">
      <c r="A112" t="s">
        <v>71</v>
      </c>
      <c r="C112" s="48">
        <v>0.5</v>
      </c>
      <c r="F112" t="s">
        <v>31</v>
      </c>
      <c r="H112" s="89">
        <v>14.7</v>
      </c>
      <c r="I112" s="34" t="s">
        <v>193</v>
      </c>
      <c r="K112" t="s">
        <v>66</v>
      </c>
    </row>
    <row r="113" spans="1:11" ht="17.25" customHeight="1" thickBot="1" x14ac:dyDescent="0.25">
      <c r="A113" t="s">
        <v>35</v>
      </c>
      <c r="C113" s="89">
        <v>12</v>
      </c>
      <c r="D113" s="34" t="s">
        <v>191</v>
      </c>
      <c r="F113" t="s">
        <v>38</v>
      </c>
      <c r="H113" s="89">
        <v>14.7</v>
      </c>
      <c r="I113" s="34" t="s">
        <v>193</v>
      </c>
    </row>
    <row r="114" spans="1:11" ht="18" customHeight="1" thickBot="1" x14ac:dyDescent="0.25">
      <c r="A114" s="42" t="s">
        <v>36</v>
      </c>
      <c r="F114" t="s">
        <v>33</v>
      </c>
      <c r="H114" s="90">
        <v>7.4999999999999997E-2</v>
      </c>
      <c r="I114" s="34" t="s">
        <v>194</v>
      </c>
      <c r="K114" t="s">
        <v>68</v>
      </c>
    </row>
    <row r="115" spans="1:11" ht="18" customHeight="1" thickBot="1" x14ac:dyDescent="0.35">
      <c r="F115" t="s">
        <v>72</v>
      </c>
      <c r="H115" s="91">
        <v>1.7299999999999999E-2</v>
      </c>
      <c r="I115" s="34" t="s">
        <v>194</v>
      </c>
      <c r="K115" t="s">
        <v>69</v>
      </c>
    </row>
    <row r="116" spans="1:11" ht="20.25" customHeight="1" x14ac:dyDescent="0.3">
      <c r="A116" s="36" t="s">
        <v>0</v>
      </c>
      <c r="K116" t="s">
        <v>78</v>
      </c>
    </row>
    <row r="117" spans="1:11" ht="15.95" customHeight="1" thickBot="1" x14ac:dyDescent="0.35">
      <c r="K117" t="s">
        <v>77</v>
      </c>
    </row>
    <row r="118" spans="1:11" ht="18" customHeight="1" thickBot="1" x14ac:dyDescent="0.25">
      <c r="A118" t="s">
        <v>32</v>
      </c>
      <c r="B118" s="6"/>
      <c r="C118" s="40">
        <f>C110*C63</f>
        <v>450.36</v>
      </c>
      <c r="D118" s="38" t="s">
        <v>185</v>
      </c>
      <c r="G118" s="6" t="s">
        <v>74</v>
      </c>
      <c r="H118" s="54">
        <f>C119*C112</f>
        <v>2.8124999999999997E-2</v>
      </c>
      <c r="I118" s="34"/>
    </row>
    <row r="119" spans="1:11" ht="18" customHeight="1" thickBot="1" x14ac:dyDescent="0.3">
      <c r="B119" s="6" t="s">
        <v>73</v>
      </c>
      <c r="C119" s="54">
        <f>C111*H110</f>
        <v>5.6249999999999994E-2</v>
      </c>
      <c r="F119" t="s">
        <v>34</v>
      </c>
      <c r="H119" s="55">
        <f>((C118/H118)/H115)/(24*60)</f>
        <v>642.77456647398856</v>
      </c>
      <c r="I119" s="56" t="s">
        <v>196</v>
      </c>
      <c r="K119" t="s">
        <v>75</v>
      </c>
    </row>
    <row r="120" spans="1:11" ht="18" customHeight="1" thickBot="1" x14ac:dyDescent="0.3">
      <c r="A120" t="s">
        <v>37</v>
      </c>
      <c r="C120" s="55">
        <f>H113+(C113*0.0361)+(62.4*H110/144)</f>
        <v>18.383199999999999</v>
      </c>
      <c r="D120" s="78" t="s">
        <v>195</v>
      </c>
    </row>
    <row r="121" spans="1:11" ht="15.95" customHeight="1" x14ac:dyDescent="0.2"/>
    <row r="122" spans="1:11" ht="15.95" customHeight="1" x14ac:dyDescent="0.25">
      <c r="A122" s="4" t="s">
        <v>352</v>
      </c>
    </row>
    <row r="123" spans="1:11" ht="15.95" customHeight="1" x14ac:dyDescent="0.2">
      <c r="A123" s="6"/>
    </row>
    <row r="124" spans="1:11" ht="15.95" customHeight="1" x14ac:dyDescent="0.2">
      <c r="A124" s="63" t="s">
        <v>142</v>
      </c>
    </row>
    <row r="125" spans="1:11" ht="17.25" customHeight="1" thickBot="1" x14ac:dyDescent="0.3">
      <c r="K125" s="92" t="s">
        <v>369</v>
      </c>
    </row>
    <row r="126" spans="1:11" ht="18" customHeight="1" thickBot="1" x14ac:dyDescent="0.35">
      <c r="A126" s="5" t="s">
        <v>336</v>
      </c>
      <c r="B126" s="6"/>
      <c r="C126" s="130">
        <v>5.6000000000000001E-2</v>
      </c>
      <c r="F126" s="5" t="s">
        <v>337</v>
      </c>
      <c r="G126" s="6"/>
      <c r="H126" s="131">
        <v>14.5</v>
      </c>
      <c r="I126" s="8" t="s">
        <v>193</v>
      </c>
    </row>
    <row r="127" spans="1:11" ht="18" customHeight="1" thickBot="1" x14ac:dyDescent="0.4">
      <c r="A127" s="107" t="s">
        <v>338</v>
      </c>
      <c r="F127" s="107" t="s">
        <v>339</v>
      </c>
      <c r="K127" s="94" t="s">
        <v>370</v>
      </c>
    </row>
    <row r="128" spans="1:11" ht="18" customHeight="1" thickBot="1" x14ac:dyDescent="0.3">
      <c r="A128" s="5" t="s">
        <v>340</v>
      </c>
      <c r="C128" s="131">
        <v>0.8</v>
      </c>
      <c r="F128" s="6" t="s">
        <v>341</v>
      </c>
    </row>
    <row r="129" spans="1:19" ht="18" customHeight="1" thickBot="1" x14ac:dyDescent="0.4">
      <c r="A129" s="5" t="s">
        <v>342</v>
      </c>
      <c r="F129" s="6" t="s">
        <v>343</v>
      </c>
      <c r="H129" s="131">
        <v>1</v>
      </c>
      <c r="K129" s="94" t="s">
        <v>371</v>
      </c>
    </row>
    <row r="130" spans="1:19" ht="17.100000000000001" customHeight="1" thickBot="1" x14ac:dyDescent="0.3">
      <c r="A130" s="5" t="s">
        <v>344</v>
      </c>
      <c r="C130" s="131">
        <v>0.6</v>
      </c>
      <c r="F130" s="6" t="s">
        <v>345</v>
      </c>
    </row>
    <row r="131" spans="1:19" ht="17.100000000000001" customHeight="1" thickBot="1" x14ac:dyDescent="0.4">
      <c r="A131" s="5" t="s">
        <v>346</v>
      </c>
      <c r="C131" s="131">
        <v>7.5</v>
      </c>
      <c r="D131" s="6" t="s">
        <v>347</v>
      </c>
      <c r="F131" s="6" t="s">
        <v>348</v>
      </c>
      <c r="H131" s="131">
        <v>12</v>
      </c>
      <c r="I131" s="8" t="s">
        <v>349</v>
      </c>
      <c r="K131" s="94" t="s">
        <v>362</v>
      </c>
    </row>
    <row r="132" spans="1:19" ht="17.100000000000001" customHeight="1" thickBot="1" x14ac:dyDescent="0.35">
      <c r="A132" s="5" t="s">
        <v>350</v>
      </c>
      <c r="C132" s="132">
        <v>7.5209999999999999E-2</v>
      </c>
      <c r="D132" s="34" t="s">
        <v>351</v>
      </c>
      <c r="F132" s="107" t="s">
        <v>338</v>
      </c>
    </row>
    <row r="133" spans="1:19" ht="17.100000000000001" customHeight="1" x14ac:dyDescent="0.35">
      <c r="K133" s="149" t="s">
        <v>373</v>
      </c>
    </row>
    <row r="134" spans="1:19" ht="17.100000000000001" customHeight="1" x14ac:dyDescent="0.25">
      <c r="A134" s="36" t="s">
        <v>0</v>
      </c>
      <c r="C134" s="94"/>
    </row>
    <row r="135" spans="1:19" ht="18.75" thickBot="1" x14ac:dyDescent="0.4">
      <c r="K135" s="149" t="s">
        <v>374</v>
      </c>
    </row>
    <row r="136" spans="1:19" ht="17.100000000000001" customHeight="1" thickBot="1" x14ac:dyDescent="0.35">
      <c r="A136" t="s">
        <v>32</v>
      </c>
      <c r="B136" s="6"/>
      <c r="C136" s="113">
        <f>C10*(4.57*(C25-H25)*8.34)</f>
        <v>165.413892</v>
      </c>
      <c r="D136" s="8" t="s">
        <v>185</v>
      </c>
      <c r="F136" s="5" t="s">
        <v>354</v>
      </c>
      <c r="H136" s="54">
        <f>C126*C130*C128*(((H129*(C137/(14.7))*C139)-H26)/9.17)*(1.024^(((C26-32)/1.8)-20))</f>
        <v>2.2184417559027291E-2</v>
      </c>
    </row>
    <row r="137" spans="1:19" ht="17.100000000000001" customHeight="1" thickBot="1" x14ac:dyDescent="0.3">
      <c r="A137" s="104" t="s">
        <v>355</v>
      </c>
      <c r="B137" s="6"/>
      <c r="C137" s="133">
        <f>H126+(62.4*C131/2)/144</f>
        <v>16.125</v>
      </c>
      <c r="D137" s="8" t="s">
        <v>193</v>
      </c>
      <c r="F137" s="6" t="s">
        <v>356</v>
      </c>
      <c r="G137" s="6"/>
      <c r="H137" s="134">
        <f>(C136/H136)*28.97/(0.209*32*C132*60*24)</f>
        <v>298.22091557073657</v>
      </c>
      <c r="I137" s="56" t="s">
        <v>196</v>
      </c>
      <c r="K137" s="150" t="s">
        <v>375</v>
      </c>
    </row>
    <row r="138" spans="1:19" ht="15.75" thickBot="1" x14ac:dyDescent="0.3">
      <c r="A138" s="6" t="s">
        <v>357</v>
      </c>
      <c r="F138" s="6" t="s">
        <v>358</v>
      </c>
      <c r="H138" s="134">
        <f>H137*(14.7)/(68+459.67)*((C26+459.67)/H139)</f>
        <v>230.58059302043125</v>
      </c>
      <c r="I138" s="56" t="s">
        <v>359</v>
      </c>
    </row>
    <row r="139" spans="1:19" ht="17.25" thickBot="1" x14ac:dyDescent="0.35">
      <c r="A139" s="6" t="s">
        <v>360</v>
      </c>
      <c r="C139" s="133">
        <f>(-0.00001391*(C26^3))+(0.003817*(C26^2))-(0.4259*C26)+24.78</f>
        <v>12.076376249999999</v>
      </c>
      <c r="D139" s="8" t="s">
        <v>1</v>
      </c>
      <c r="E139" s="6" t="s">
        <v>361</v>
      </c>
      <c r="H139" s="135">
        <f>H126+(H131*0.036126)+((62.4*C131)/144)</f>
        <v>18.183512</v>
      </c>
      <c r="I139" s="136" t="s">
        <v>193</v>
      </c>
    </row>
    <row r="140" spans="1:19" x14ac:dyDescent="0.2">
      <c r="A140" s="104" t="s">
        <v>363</v>
      </c>
    </row>
    <row r="141" spans="1:19" ht="15" x14ac:dyDescent="0.25">
      <c r="K141" s="47" t="s">
        <v>41</v>
      </c>
    </row>
    <row r="142" spans="1:19" ht="15.75" x14ac:dyDescent="0.25">
      <c r="A142" s="4" t="s">
        <v>353</v>
      </c>
      <c r="K142" s="85"/>
    </row>
    <row r="143" spans="1:19" ht="13.5" thickBot="1" x14ac:dyDescent="0.25">
      <c r="K143" s="85" t="s">
        <v>86</v>
      </c>
    </row>
    <row r="144" spans="1:19" ht="16.5" thickBot="1" x14ac:dyDescent="0.35">
      <c r="A144" s="63" t="s">
        <v>93</v>
      </c>
      <c r="B144" s="5" t="s">
        <v>94</v>
      </c>
      <c r="D144" s="6"/>
      <c r="F144" s="7">
        <v>80</v>
      </c>
      <c r="G144" s="5" t="s">
        <v>100</v>
      </c>
      <c r="K144" t="s">
        <v>87</v>
      </c>
      <c r="O144" s="165" t="s">
        <v>105</v>
      </c>
      <c r="P144" s="165"/>
      <c r="Q144" s="165"/>
      <c r="R144" s="165"/>
      <c r="S144" s="165"/>
    </row>
    <row r="146" spans="1:22" ht="15" x14ac:dyDescent="0.2">
      <c r="A146" s="63" t="s">
        <v>96</v>
      </c>
      <c r="K146" s="85" t="s">
        <v>50</v>
      </c>
    </row>
    <row r="147" spans="1:22" ht="17.25" customHeight="1" thickBot="1" x14ac:dyDescent="0.25">
      <c r="I147" s="34"/>
      <c r="K147" t="s">
        <v>51</v>
      </c>
    </row>
    <row r="148" spans="1:22" ht="16.5" thickBot="1" x14ac:dyDescent="0.35">
      <c r="A148" s="5" t="s">
        <v>97</v>
      </c>
      <c r="B148" s="5"/>
      <c r="C148" s="41">
        <v>50</v>
      </c>
      <c r="D148" s="34" t="s">
        <v>95</v>
      </c>
      <c r="F148" s="5" t="s">
        <v>98</v>
      </c>
      <c r="G148" s="5"/>
      <c r="H148" s="41">
        <v>84</v>
      </c>
      <c r="I148" s="34" t="s">
        <v>95</v>
      </c>
      <c r="K148" s="165" t="s">
        <v>52</v>
      </c>
      <c r="L148" s="165"/>
      <c r="M148" s="165"/>
      <c r="N148" s="165"/>
      <c r="O148" s="165"/>
      <c r="P148" s="165"/>
      <c r="Q148" s="165"/>
      <c r="R148" s="165"/>
      <c r="S148" s="165"/>
      <c r="T148" s="165"/>
      <c r="U148" s="165"/>
      <c r="V148" s="165"/>
    </row>
    <row r="149" spans="1:22" ht="18" customHeight="1" thickBot="1" x14ac:dyDescent="0.25"/>
    <row r="150" spans="1:22" ht="18" customHeight="1" thickBot="1" x14ac:dyDescent="0.25">
      <c r="A150" s="5" t="s">
        <v>99</v>
      </c>
      <c r="B150" s="6"/>
      <c r="D150" s="39">
        <v>7.14</v>
      </c>
      <c r="E150" s="10" t="s">
        <v>127</v>
      </c>
      <c r="K150" s="85" t="s">
        <v>43</v>
      </c>
      <c r="L150" s="85"/>
      <c r="M150" s="85"/>
      <c r="N150" s="85"/>
      <c r="O150" s="85"/>
      <c r="P150" s="85"/>
      <c r="Q150" s="85"/>
      <c r="R150" s="85"/>
    </row>
    <row r="151" spans="1:22" ht="18.75" customHeight="1" thickBot="1" x14ac:dyDescent="0.25">
      <c r="A151" s="5" t="s">
        <v>125</v>
      </c>
      <c r="B151" s="6"/>
      <c r="D151" s="39">
        <v>3.57</v>
      </c>
      <c r="E151" s="10" t="s">
        <v>126</v>
      </c>
      <c r="K151" t="s">
        <v>44</v>
      </c>
    </row>
    <row r="152" spans="1:22" ht="18" customHeight="1" x14ac:dyDescent="0.2">
      <c r="K152" s="165" t="s">
        <v>40</v>
      </c>
      <c r="L152" s="165"/>
      <c r="M152" s="165"/>
      <c r="N152" s="165"/>
      <c r="O152" s="165"/>
      <c r="P152" s="165"/>
      <c r="Q152" s="165"/>
      <c r="R152" s="165"/>
    </row>
    <row r="153" spans="1:22" ht="15" x14ac:dyDescent="0.25">
      <c r="A153" s="36" t="s">
        <v>0</v>
      </c>
    </row>
    <row r="154" spans="1:22" ht="13.5" thickBot="1" x14ac:dyDescent="0.25">
      <c r="K154" t="s">
        <v>88</v>
      </c>
    </row>
    <row r="155" spans="1:22" ht="16.5" thickBot="1" x14ac:dyDescent="0.35">
      <c r="A155" t="s">
        <v>101</v>
      </c>
      <c r="B155" s="6"/>
      <c r="D155" s="40">
        <f>F144+((C11-H25)*D150)-G12-D151*(C11-H98)</f>
        <v>54.276691666666622</v>
      </c>
      <c r="E155" s="5" t="s">
        <v>100</v>
      </c>
      <c r="K155" t="s">
        <v>42</v>
      </c>
    </row>
    <row r="156" spans="1:22" ht="16.5" thickBot="1" x14ac:dyDescent="0.35">
      <c r="A156" t="s">
        <v>102</v>
      </c>
      <c r="B156" s="6"/>
      <c r="D156" s="40">
        <f>C10*D155*8.34</f>
        <v>90.533521699999923</v>
      </c>
      <c r="E156" s="5" t="s">
        <v>204</v>
      </c>
    </row>
    <row r="157" spans="1:22" x14ac:dyDescent="0.2">
      <c r="K157" t="s">
        <v>107</v>
      </c>
    </row>
    <row r="158" spans="1:22" x14ac:dyDescent="0.2">
      <c r="A158" s="73" t="s">
        <v>103</v>
      </c>
      <c r="K158" s="165" t="s">
        <v>106</v>
      </c>
      <c r="L158" s="165"/>
      <c r="M158" s="165"/>
      <c r="N158" s="165"/>
      <c r="O158" s="165"/>
      <c r="P158" s="165"/>
      <c r="Q158" s="165"/>
      <c r="R158" s="165"/>
      <c r="S158" s="165"/>
      <c r="T158" s="165"/>
      <c r="U158" s="165"/>
      <c r="V158" s="165"/>
    </row>
    <row r="159" spans="1:22" ht="13.5" thickBot="1" x14ac:dyDescent="0.25"/>
    <row r="160" spans="1:22" ht="16.5" thickBot="1" x14ac:dyDescent="0.35">
      <c r="A160" t="s">
        <v>104</v>
      </c>
      <c r="B160" s="6"/>
      <c r="D160" s="40">
        <f>D156*H148/C148</f>
        <v>152.09631645599987</v>
      </c>
      <c r="E160" s="5" t="s">
        <v>205</v>
      </c>
      <c r="K160" s="6" t="s">
        <v>259</v>
      </c>
    </row>
    <row r="161" spans="1:21" x14ac:dyDescent="0.2">
      <c r="K161" t="s">
        <v>258</v>
      </c>
    </row>
    <row r="162" spans="1:21" ht="15.75" x14ac:dyDescent="0.25">
      <c r="A162" s="4" t="s">
        <v>151</v>
      </c>
    </row>
    <row r="163" spans="1:21" ht="13.5" thickBot="1" x14ac:dyDescent="0.25">
      <c r="K163" t="s">
        <v>150</v>
      </c>
    </row>
    <row r="164" spans="1:21" ht="15.75" thickBot="1" x14ac:dyDescent="0.25">
      <c r="A164" s="63" t="s">
        <v>142</v>
      </c>
      <c r="B164" s="5" t="s">
        <v>143</v>
      </c>
      <c r="D164" s="6"/>
      <c r="F164" s="7" t="s">
        <v>144</v>
      </c>
      <c r="K164" s="165" t="s">
        <v>145</v>
      </c>
      <c r="L164" s="165"/>
      <c r="M164" s="165"/>
      <c r="N164" s="165"/>
      <c r="O164" s="165"/>
      <c r="P164" s="165"/>
      <c r="Q164" s="165"/>
      <c r="R164" s="165"/>
      <c r="S164" s="165"/>
      <c r="T164" s="165"/>
      <c r="U164" s="165"/>
    </row>
    <row r="165" spans="1:21" ht="16.5" thickBot="1" x14ac:dyDescent="0.35">
      <c r="B165" t="s">
        <v>146</v>
      </c>
      <c r="F165" s="7">
        <v>4.5999999999999996</v>
      </c>
      <c r="G165" s="5" t="s">
        <v>274</v>
      </c>
    </row>
    <row r="166" spans="1:21" ht="13.5" thickBot="1" x14ac:dyDescent="0.25">
      <c r="B166" t="s">
        <v>147</v>
      </c>
      <c r="F166" s="7">
        <v>1.5</v>
      </c>
      <c r="G166" s="5" t="s">
        <v>206</v>
      </c>
      <c r="K166" s="6" t="s">
        <v>381</v>
      </c>
    </row>
    <row r="168" spans="1:21" ht="16.5" customHeight="1" x14ac:dyDescent="0.25">
      <c r="A168" s="36" t="s">
        <v>0</v>
      </c>
      <c r="K168" s="6" t="s">
        <v>382</v>
      </c>
    </row>
    <row r="169" spans="1:21" ht="18" customHeight="1" thickBot="1" x14ac:dyDescent="0.25">
      <c r="K169" s="6" t="s">
        <v>376</v>
      </c>
    </row>
    <row r="170" spans="1:21" ht="16.5" thickBot="1" x14ac:dyDescent="0.35">
      <c r="A170" t="s">
        <v>148</v>
      </c>
      <c r="B170" s="6"/>
      <c r="D170" s="40">
        <f>F165/F166</f>
        <v>3.0666666666666664</v>
      </c>
      <c r="E170" s="5" t="s">
        <v>275</v>
      </c>
    </row>
    <row r="171" spans="1:21" ht="18" customHeight="1" thickBot="1" x14ac:dyDescent="0.25">
      <c r="A171" t="s">
        <v>149</v>
      </c>
      <c r="B171" s="6"/>
      <c r="D171" s="40">
        <f>C99*D170</f>
        <v>143.68454711111113</v>
      </c>
      <c r="E171" s="5" t="s">
        <v>207</v>
      </c>
      <c r="K171" s="104" t="s">
        <v>379</v>
      </c>
      <c r="M171" s="86" t="s">
        <v>386</v>
      </c>
      <c r="N171" s="85"/>
      <c r="O171" s="85"/>
      <c r="P171" s="85"/>
      <c r="Q171" s="85"/>
    </row>
    <row r="172" spans="1:21" x14ac:dyDescent="0.2">
      <c r="K172" s="6" t="s">
        <v>385</v>
      </c>
    </row>
    <row r="174" spans="1:21" ht="13.5" thickBot="1" x14ac:dyDescent="0.25">
      <c r="K174" s="104" t="s">
        <v>383</v>
      </c>
      <c r="M174" s="166" t="s">
        <v>377</v>
      </c>
      <c r="N174" s="166"/>
      <c r="O174" s="166"/>
      <c r="P174" s="166"/>
      <c r="Q174" s="166"/>
    </row>
    <row r="175" spans="1:21" ht="18.75" customHeight="1" x14ac:dyDescent="0.35">
      <c r="B175" s="19"/>
      <c r="C175" s="20"/>
      <c r="D175" s="20"/>
      <c r="E175" s="21"/>
      <c r="F175" s="21"/>
      <c r="G175" s="22"/>
      <c r="H175" s="23"/>
      <c r="I175" s="27"/>
      <c r="K175" s="6" t="s">
        <v>378</v>
      </c>
    </row>
    <row r="176" spans="1:21" ht="23.25" x14ac:dyDescent="0.35">
      <c r="B176" s="24" t="s">
        <v>5</v>
      </c>
      <c r="C176" s="25"/>
      <c r="D176" s="25"/>
      <c r="E176" s="26"/>
      <c r="F176" s="26"/>
      <c r="G176" s="25"/>
      <c r="H176" s="28"/>
      <c r="I176" s="27"/>
    </row>
    <row r="177" spans="2:17" ht="18" x14ac:dyDescent="0.25">
      <c r="B177" s="29"/>
      <c r="C177" s="162" t="s">
        <v>2</v>
      </c>
      <c r="D177" s="162"/>
      <c r="E177" s="162"/>
      <c r="F177" s="162"/>
      <c r="G177" s="162"/>
      <c r="H177" s="28"/>
      <c r="I177" s="27"/>
      <c r="K177" s="104" t="s">
        <v>384</v>
      </c>
      <c r="M177" s="166" t="s">
        <v>380</v>
      </c>
      <c r="N177" s="166"/>
      <c r="O177" s="166"/>
      <c r="P177" s="166"/>
      <c r="Q177" s="166"/>
    </row>
    <row r="178" spans="2:17" ht="15.75" customHeight="1" thickBot="1" x14ac:dyDescent="0.4">
      <c r="B178" s="30"/>
      <c r="C178" s="31"/>
      <c r="D178" s="31"/>
      <c r="E178" s="31"/>
      <c r="F178" s="31"/>
      <c r="G178" s="31"/>
      <c r="H178" s="148"/>
      <c r="I178" s="25"/>
      <c r="K178" s="6" t="s">
        <v>378</v>
      </c>
    </row>
    <row r="180" spans="2:17" x14ac:dyDescent="0.2">
      <c r="B180" s="33" t="s">
        <v>424</v>
      </c>
    </row>
    <row r="200" spans="1:1" x14ac:dyDescent="0.2">
      <c r="A200" t="s">
        <v>22</v>
      </c>
    </row>
    <row r="201" spans="1:1" x14ac:dyDescent="0.2">
      <c r="A201" t="s">
        <v>23</v>
      </c>
    </row>
    <row r="205" spans="1:1" x14ac:dyDescent="0.2">
      <c r="A205" s="115">
        <v>2</v>
      </c>
    </row>
    <row r="206" spans="1:1" x14ac:dyDescent="0.2">
      <c r="A206" s="115">
        <v>3</v>
      </c>
    </row>
    <row r="207" spans="1:1" x14ac:dyDescent="0.2">
      <c r="A207" s="115">
        <v>4</v>
      </c>
    </row>
    <row r="208" spans="1:1" x14ac:dyDescent="0.2">
      <c r="A208" s="115">
        <v>5</v>
      </c>
    </row>
    <row r="209" spans="1:1" x14ac:dyDescent="0.2">
      <c r="A209" s="115">
        <v>6</v>
      </c>
    </row>
    <row r="210" spans="1:1" x14ac:dyDescent="0.2">
      <c r="A210" s="115">
        <v>9</v>
      </c>
    </row>
  </sheetData>
  <mergeCells count="10">
    <mergeCell ref="C177:G177"/>
    <mergeCell ref="K164:U164"/>
    <mergeCell ref="H53:I53"/>
    <mergeCell ref="K104:T104"/>
    <mergeCell ref="O144:S144"/>
    <mergeCell ref="K148:V148"/>
    <mergeCell ref="K152:R152"/>
    <mergeCell ref="K158:V158"/>
    <mergeCell ref="M174:Q174"/>
    <mergeCell ref="M177:Q177"/>
  </mergeCells>
  <phoneticPr fontId="0" type="noConversion"/>
  <dataValidations count="1">
    <dataValidation type="list" allowBlank="1" showInputMessage="1" showErrorMessage="1" sqref="H53" xr:uid="{00000000-0002-0000-0200-000000000000}">
      <formula1>A$200:A$201</formula1>
    </dataValidation>
  </dataValidations>
  <hyperlinks>
    <hyperlink ref="H56" r:id="rId1" location="p2001c2fa9960220001" display="   Biofilm Reactors - WEF MOP 35, Table 5.3. Typical BOD design loading criteria" xr:uid="{00000000-0004-0000-0200-000000000000}"/>
    <hyperlink ref="K104" r:id="rId2" xr:uid="{00000000-0004-0000-0200-000001000000}"/>
    <hyperlink ref="K103" r:id="rId3" display="http://www.xylemwatersolutions.com/scs/sweden/sv-se/produkter/cirkulationspumpar/documents/san3.pdf" xr:uid="{00000000-0004-0000-0200-000002000000}"/>
    <hyperlink ref="K104:L104" r:id="rId4" location="p2000a1f99976_93002" display=" Standard Handbook of Environmental Engineering, 2nd Ed, Sec 6.5.1. Activated Sludge" xr:uid="{00000000-0004-0000-0200-000003000000}"/>
    <hyperlink ref="K152:R152" r:id="rId5" display="http://www.headworksinternational.com/userfiles/file/Webinar/BV_Webinar_Slides.pdf" xr:uid="{00000000-0004-0000-0200-000004000000}"/>
    <hyperlink ref="K148" r:id="rId6" xr:uid="{00000000-0004-0000-0200-000005000000}"/>
    <hyperlink ref="O144:S144" r:id="rId7" display="http://www.dsdic2014.hk/ppt/Presentation_(B4-1).pdf" xr:uid="{00000000-0004-0000-0200-000006000000}"/>
    <hyperlink ref="K158" r:id="rId8" xr:uid="{00000000-0004-0000-0200-000007000000}"/>
    <hyperlink ref="K151:R151" r:id="rId9" display="http://www.headworksinternational.com/userfiles/file/Webinar/BV_Webinar_Slides.pdf" xr:uid="{00000000-0004-0000-0200-000008000000}"/>
    <hyperlink ref="K147" r:id="rId10" display="http://netedu.xauat.edu.cn/jpkc/netedu/jpkc2009/szylyybh/content/wlzy/7/3/The%20Moving%20Bed%20Biofilm%20Reactor.pdf" xr:uid="{00000000-0004-0000-0200-000009000000}"/>
    <hyperlink ref="O143:S143" r:id="rId11" display="http://www.dsdic2014.hk/ppt/Presentation_(B4-1).pdf" xr:uid="{00000000-0004-0000-0200-00000A000000}"/>
    <hyperlink ref="K147:R147" r:id="rId12" display="http://www.headworksinternational.com/userfiles/file/Webinar/BV_Webinar_Slides.pdf" xr:uid="{00000000-0004-0000-0200-00000B000000}"/>
    <hyperlink ref="M155" r:id="rId13" display="http://www.engineeringexceltemplates.com/downloads_main.aspx" xr:uid="{00000000-0004-0000-0200-00000C000000}"/>
    <hyperlink ref="K147:Q147" r:id="rId14" display="http://www.headworksinternational.com/userfiles/file/Webinar/BV_Webinar_Slides.pdf" xr:uid="{00000000-0004-0000-0200-00000D000000}"/>
    <hyperlink ref="K144" r:id="rId15" display="http://netedu.xauat.edu.cn/jpkc/netedu/jpkc2009/szylyybh/content/wlzy/7/3/The%20Moving%20Bed%20Biofilm%20Reactor.pdf" xr:uid="{00000000-0004-0000-0200-00000E000000}"/>
    <hyperlink ref="K148:R148" r:id="rId16" display="http://www.headworksinternational.com/userfiles/file/Webinar/BV_Webinar_Slides.pdf" xr:uid="{00000000-0004-0000-0200-00000F000000}"/>
    <hyperlink ref="K164" r:id="rId17" xr:uid="{00000000-0004-0000-0200-000010000000}"/>
    <hyperlink ref="D72" r:id="rId18" display="http://www.engineeringexceltemplates.com/downloads_main.aspx" xr:uid="{00000000-0004-0000-0200-000011000000}"/>
    <hyperlink ref="D99" r:id="rId19" display="http://www.engineeringexceltemplates.com/downloads_main.aspx" xr:uid="{00000000-0004-0000-0200-000012000000}"/>
    <hyperlink ref="C177" r:id="rId20" display="http://www.engineeringexceltemplates.com/downloads_main.aspx" xr:uid="{00000000-0004-0000-0200-000013000000}"/>
    <hyperlink ref="M177:Q177" r:id="rId21" display="Biological Wastewater Treatment Process Design Calculations" xr:uid="{00000000-0004-0000-0200-000014000000}"/>
    <hyperlink ref="M174:Q174" r:id="rId22" display="Spreadsheets for MBBR Process Design Calculations," xr:uid="{00000000-0004-0000-0200-000015000000}"/>
    <hyperlink ref="M171" r:id="rId23" xr:uid="{00000000-0004-0000-0200-000016000000}"/>
  </hyperlinks>
  <pageMargins left="0.66" right="0.52" top="0.52" bottom="0.52" header="0.5" footer="0.5"/>
  <pageSetup orientation="portrait" r:id="rId24"/>
  <headerFooter alignWithMargins="0"/>
  <ignoredErrors>
    <ignoredError sqref="C20" unlockedFormula="1"/>
  </ignoredErrors>
  <drawing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AE85-7098-4702-8416-E747E3581FED}">
  <dimension ref="A2:M53"/>
  <sheetViews>
    <sheetView workbookViewId="0"/>
  </sheetViews>
  <sheetFormatPr defaultRowHeight="12.75" x14ac:dyDescent="0.2"/>
  <cols>
    <col min="3" max="3" width="15.5703125" customWidth="1"/>
    <col min="4" max="4" width="14.140625" customWidth="1"/>
    <col min="8" max="8" width="13" customWidth="1"/>
  </cols>
  <sheetData>
    <row r="2" spans="1:8" x14ac:dyDescent="0.2">
      <c r="A2" s="117" t="s">
        <v>430</v>
      </c>
    </row>
    <row r="5" spans="1:8" ht="13.5" thickBot="1" x14ac:dyDescent="0.25">
      <c r="F5" s="117" t="s">
        <v>308</v>
      </c>
    </row>
    <row r="6" spans="1:8" ht="15.75" x14ac:dyDescent="0.3">
      <c r="F6" s="118" t="s">
        <v>309</v>
      </c>
      <c r="G6" s="119" t="s">
        <v>310</v>
      </c>
      <c r="H6" s="120" t="s">
        <v>311</v>
      </c>
    </row>
    <row r="7" spans="1:8" ht="14.25" x14ac:dyDescent="0.2">
      <c r="F7" s="121" t="s">
        <v>1</v>
      </c>
      <c r="G7" s="122" t="s">
        <v>312</v>
      </c>
      <c r="H7" s="123" t="s">
        <v>1</v>
      </c>
    </row>
    <row r="8" spans="1:8" x14ac:dyDescent="0.2">
      <c r="F8" s="124">
        <v>2</v>
      </c>
      <c r="G8" s="125">
        <v>0.61</v>
      </c>
      <c r="H8" s="126">
        <v>0.5</v>
      </c>
    </row>
    <row r="9" spans="1:8" x14ac:dyDescent="0.2">
      <c r="F9" s="124">
        <v>3</v>
      </c>
      <c r="G9" s="125">
        <v>0.88</v>
      </c>
      <c r="H9" s="126">
        <v>0.8</v>
      </c>
    </row>
    <row r="10" spans="1:8" x14ac:dyDescent="0.2">
      <c r="F10" s="124">
        <v>4</v>
      </c>
      <c r="G10" s="125">
        <v>1.03</v>
      </c>
      <c r="H10" s="126">
        <v>1</v>
      </c>
    </row>
    <row r="11" spans="1:8" x14ac:dyDescent="0.2">
      <c r="F11" s="124">
        <v>5</v>
      </c>
      <c r="G11" s="125">
        <v>1.23</v>
      </c>
      <c r="H11" s="126">
        <v>1.3</v>
      </c>
    </row>
    <row r="12" spans="1:8" x14ac:dyDescent="0.2">
      <c r="F12" s="124">
        <v>6</v>
      </c>
      <c r="G12" s="125">
        <v>1.41</v>
      </c>
      <c r="H12" s="126">
        <v>1.65</v>
      </c>
    </row>
    <row r="13" spans="1:8" ht="13.5" thickBot="1" x14ac:dyDescent="0.25">
      <c r="F13" s="159">
        <v>9</v>
      </c>
      <c r="G13" s="160">
        <v>1.88</v>
      </c>
      <c r="H13" s="127">
        <v>2.9</v>
      </c>
    </row>
    <row r="17" spans="2:13" ht="24" customHeight="1" x14ac:dyDescent="0.2">
      <c r="B17" s="128" t="s">
        <v>318</v>
      </c>
    </row>
    <row r="19" spans="2:13" x14ac:dyDescent="0.2">
      <c r="B19" s="5" t="s">
        <v>427</v>
      </c>
    </row>
    <row r="20" spans="2:13" x14ac:dyDescent="0.2">
      <c r="B20" s="5" t="s">
        <v>420</v>
      </c>
    </row>
    <row r="21" spans="2:13" x14ac:dyDescent="0.2">
      <c r="B21" s="5" t="s">
        <v>434</v>
      </c>
    </row>
    <row r="22" spans="2:13" ht="15.75" x14ac:dyDescent="0.3">
      <c r="B22" s="5" t="s">
        <v>421</v>
      </c>
    </row>
    <row r="23" spans="2:13" ht="15.75" x14ac:dyDescent="0.3">
      <c r="B23" s="5" t="s">
        <v>422</v>
      </c>
    </row>
    <row r="24" spans="2:13" x14ac:dyDescent="0.2">
      <c r="B24" s="5" t="s">
        <v>423</v>
      </c>
    </row>
    <row r="25" spans="2:13" ht="15.75" x14ac:dyDescent="0.3">
      <c r="B25" s="5" t="s">
        <v>313</v>
      </c>
    </row>
    <row r="27" spans="2:13" x14ac:dyDescent="0.2">
      <c r="B27" s="85" t="s">
        <v>50</v>
      </c>
    </row>
    <row r="28" spans="2:13" x14ac:dyDescent="0.2">
      <c r="B28" s="85" t="s">
        <v>51</v>
      </c>
      <c r="C28" s="85"/>
      <c r="D28" s="85"/>
      <c r="E28" s="85"/>
      <c r="F28" s="85"/>
      <c r="G28" s="85"/>
      <c r="H28" s="85"/>
      <c r="I28" s="85"/>
    </row>
    <row r="29" spans="2:13" x14ac:dyDescent="0.2">
      <c r="B29" s="165" t="s">
        <v>52</v>
      </c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</row>
    <row r="30" spans="2:13" ht="13.5" thickBot="1" x14ac:dyDescent="0.25"/>
    <row r="31" spans="2:13" ht="15.75" x14ac:dyDescent="0.3">
      <c r="B31" s="118" t="s">
        <v>309</v>
      </c>
      <c r="C31" s="119" t="s">
        <v>310</v>
      </c>
    </row>
    <row r="32" spans="2:13" ht="14.25" x14ac:dyDescent="0.2">
      <c r="B32" s="121" t="s">
        <v>1</v>
      </c>
      <c r="C32" s="122" t="s">
        <v>312</v>
      </c>
    </row>
    <row r="33" spans="1:3" x14ac:dyDescent="0.2">
      <c r="B33" s="124">
        <v>2</v>
      </c>
      <c r="C33" s="125">
        <v>0.61</v>
      </c>
    </row>
    <row r="34" spans="1:3" x14ac:dyDescent="0.2">
      <c r="B34" s="124">
        <v>3</v>
      </c>
      <c r="C34" s="125">
        <v>0.88</v>
      </c>
    </row>
    <row r="35" spans="1:3" x14ac:dyDescent="0.2">
      <c r="B35" s="124">
        <v>4</v>
      </c>
      <c r="C35" s="125">
        <v>1.03</v>
      </c>
    </row>
    <row r="36" spans="1:3" x14ac:dyDescent="0.2">
      <c r="B36" s="124">
        <v>5</v>
      </c>
      <c r="C36" s="125">
        <v>1.23</v>
      </c>
    </row>
    <row r="37" spans="1:3" x14ac:dyDescent="0.2">
      <c r="B37" s="124">
        <v>6</v>
      </c>
      <c r="C37" s="125">
        <v>1.41</v>
      </c>
    </row>
    <row r="38" spans="1:3" x14ac:dyDescent="0.2">
      <c r="B38" s="124">
        <v>9</v>
      </c>
      <c r="C38" s="156">
        <v>1.88</v>
      </c>
    </row>
    <row r="40" spans="1:3" ht="15.75" x14ac:dyDescent="0.3">
      <c r="A40" s="6" t="s">
        <v>428</v>
      </c>
    </row>
    <row r="44" spans="1:3" ht="15.75" x14ac:dyDescent="0.3">
      <c r="A44" s="5" t="s">
        <v>429</v>
      </c>
    </row>
    <row r="45" spans="1:3" ht="13.5" thickBot="1" x14ac:dyDescent="0.25"/>
    <row r="46" spans="1:3" ht="15.75" x14ac:dyDescent="0.3">
      <c r="B46" s="118" t="s">
        <v>309</v>
      </c>
      <c r="C46" s="120" t="s">
        <v>311</v>
      </c>
    </row>
    <row r="47" spans="1:3" x14ac:dyDescent="0.2">
      <c r="B47" s="121" t="s">
        <v>1</v>
      </c>
      <c r="C47" s="123" t="s">
        <v>1</v>
      </c>
    </row>
    <row r="48" spans="1:3" x14ac:dyDescent="0.2">
      <c r="B48" s="124">
        <v>2</v>
      </c>
      <c r="C48" s="126">
        <v>0.5</v>
      </c>
    </row>
    <row r="49" spans="2:3" x14ac:dyDescent="0.2">
      <c r="B49" s="124">
        <v>3</v>
      </c>
      <c r="C49" s="126">
        <v>0.8</v>
      </c>
    </row>
    <row r="50" spans="2:3" x14ac:dyDescent="0.2">
      <c r="B50" s="124">
        <v>4</v>
      </c>
      <c r="C50" s="126">
        <v>1</v>
      </c>
    </row>
    <row r="51" spans="2:3" x14ac:dyDescent="0.2">
      <c r="B51" s="124">
        <v>5</v>
      </c>
      <c r="C51" s="126">
        <v>1.3</v>
      </c>
    </row>
    <row r="52" spans="2:3" x14ac:dyDescent="0.2">
      <c r="B52" s="124">
        <v>6</v>
      </c>
      <c r="C52" s="126">
        <v>1.65</v>
      </c>
    </row>
    <row r="53" spans="2:3" x14ac:dyDescent="0.2">
      <c r="B53" s="124">
        <v>9</v>
      </c>
      <c r="C53" s="126">
        <v>2.9</v>
      </c>
    </row>
  </sheetData>
  <mergeCells count="1">
    <mergeCell ref="B29:M29"/>
  </mergeCells>
  <hyperlinks>
    <hyperlink ref="B29" r:id="rId1" xr:uid="{BFB4E714-DE49-4566-A0B8-65EB167048ED}"/>
    <hyperlink ref="B29:I29" r:id="rId2" display="http://www.headworksinternational.com/userfiles/file/Webinar/BV_Webinar_Slides.pdf" xr:uid="{14A9925D-CED8-4072-85D6-E5BDB5F386AB}"/>
  </hyperlinks>
  <pageMargins left="0.7" right="0.7" top="0.75" bottom="0.75" header="0.3" footer="0.3"/>
  <pageSetup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G52"/>
  <sheetViews>
    <sheetView workbookViewId="0">
      <selection activeCell="Q12" sqref="Q12"/>
    </sheetView>
  </sheetViews>
  <sheetFormatPr defaultRowHeight="12.75" x14ac:dyDescent="0.2"/>
  <sheetData>
    <row r="3" spans="2:7" ht="18" x14ac:dyDescent="0.25">
      <c r="B3" s="137" t="s">
        <v>364</v>
      </c>
      <c r="C3" s="138"/>
      <c r="D3" s="138"/>
      <c r="E3" s="138"/>
      <c r="F3" s="138"/>
      <c r="G3" s="138"/>
    </row>
    <row r="4" spans="2:7" x14ac:dyDescent="0.2">
      <c r="B4" s="138"/>
      <c r="C4" s="138"/>
      <c r="D4" s="138"/>
      <c r="E4" s="138"/>
      <c r="F4" s="139"/>
      <c r="G4" s="139"/>
    </row>
    <row r="5" spans="2:7" x14ac:dyDescent="0.2">
      <c r="B5" s="139"/>
      <c r="C5" s="140" t="s">
        <v>365</v>
      </c>
      <c r="D5" s="138"/>
      <c r="E5" s="138"/>
      <c r="F5" s="141"/>
      <c r="G5" s="141"/>
    </row>
    <row r="6" spans="2:7" ht="14.25" x14ac:dyDescent="0.2">
      <c r="B6" s="142" t="s">
        <v>366</v>
      </c>
      <c r="C6" s="142" t="s">
        <v>1</v>
      </c>
      <c r="D6" s="138"/>
      <c r="E6" s="138"/>
      <c r="F6" s="138"/>
      <c r="G6" s="138"/>
    </row>
    <row r="7" spans="2:7" x14ac:dyDescent="0.2">
      <c r="B7" s="140">
        <v>35</v>
      </c>
      <c r="C7" s="140">
        <v>13.96</v>
      </c>
      <c r="D7" s="138"/>
      <c r="E7" s="138"/>
      <c r="F7" s="138"/>
      <c r="G7" s="138"/>
    </row>
    <row r="8" spans="2:7" x14ac:dyDescent="0.2">
      <c r="B8" s="140">
        <v>36</v>
      </c>
      <c r="C8" s="140">
        <v>13.75</v>
      </c>
      <c r="D8" s="138"/>
      <c r="E8" s="138"/>
      <c r="F8" s="138"/>
      <c r="G8" s="138"/>
    </row>
    <row r="9" spans="2:7" x14ac:dyDescent="0.2">
      <c r="B9" s="140">
        <v>37</v>
      </c>
      <c r="C9" s="140">
        <v>13.54</v>
      </c>
      <c r="D9" s="138"/>
      <c r="E9" s="138"/>
      <c r="F9" s="138"/>
      <c r="G9" s="138"/>
    </row>
    <row r="10" spans="2:7" x14ac:dyDescent="0.2">
      <c r="B10" s="140">
        <v>38</v>
      </c>
      <c r="C10" s="140">
        <v>13.34</v>
      </c>
      <c r="D10" s="138"/>
      <c r="E10" s="138"/>
      <c r="F10" s="138"/>
      <c r="G10" s="138"/>
    </row>
    <row r="11" spans="2:7" x14ac:dyDescent="0.2">
      <c r="B11" s="140">
        <v>39</v>
      </c>
      <c r="C11" s="140">
        <v>13.15</v>
      </c>
      <c r="D11" s="138"/>
      <c r="E11" s="138"/>
      <c r="F11" s="138"/>
      <c r="G11" s="138"/>
    </row>
    <row r="12" spans="2:7" x14ac:dyDescent="0.2">
      <c r="B12" s="140">
        <v>40</v>
      </c>
      <c r="C12" s="140">
        <v>12.96</v>
      </c>
      <c r="D12" s="138"/>
      <c r="E12" s="138"/>
      <c r="F12" s="138"/>
      <c r="G12" s="138"/>
    </row>
    <row r="13" spans="2:7" x14ac:dyDescent="0.2">
      <c r="B13" s="140">
        <v>41</v>
      </c>
      <c r="C13" s="140">
        <v>12.77</v>
      </c>
      <c r="D13" s="138"/>
      <c r="E13" s="138"/>
      <c r="F13" s="138"/>
      <c r="G13" s="138"/>
    </row>
    <row r="14" spans="2:7" x14ac:dyDescent="0.2">
      <c r="B14" s="140">
        <v>42</v>
      </c>
      <c r="C14" s="140">
        <v>12.59</v>
      </c>
      <c r="D14" s="138"/>
      <c r="E14" s="138"/>
      <c r="F14" s="138"/>
      <c r="G14" s="138"/>
    </row>
    <row r="15" spans="2:7" x14ac:dyDescent="0.2">
      <c r="B15" s="140">
        <v>43</v>
      </c>
      <c r="C15" s="140">
        <v>12.41</v>
      </c>
      <c r="D15" s="138"/>
      <c r="E15" s="138"/>
      <c r="F15" s="138"/>
      <c r="G15" s="138"/>
    </row>
    <row r="16" spans="2:7" x14ac:dyDescent="0.2">
      <c r="B16" s="140">
        <v>44</v>
      </c>
      <c r="C16" s="140">
        <v>12.24</v>
      </c>
      <c r="D16" s="138"/>
      <c r="E16" s="138"/>
      <c r="F16" s="138"/>
      <c r="G16" s="138"/>
    </row>
    <row r="17" spans="2:7" x14ac:dyDescent="0.2">
      <c r="B17" s="140">
        <v>45</v>
      </c>
      <c r="C17" s="140">
        <v>12.07</v>
      </c>
      <c r="D17" s="138"/>
      <c r="E17" s="138"/>
      <c r="F17" s="138"/>
      <c r="G17" s="138"/>
    </row>
    <row r="18" spans="2:7" x14ac:dyDescent="0.2">
      <c r="B18" s="140">
        <v>46</v>
      </c>
      <c r="C18" s="140">
        <v>11.91</v>
      </c>
      <c r="D18" s="138"/>
      <c r="E18" s="138"/>
      <c r="F18" s="138"/>
      <c r="G18" s="138"/>
    </row>
    <row r="19" spans="2:7" x14ac:dyDescent="0.2">
      <c r="B19" s="140">
        <v>47</v>
      </c>
      <c r="C19" s="140">
        <v>11.75</v>
      </c>
      <c r="D19" s="138"/>
      <c r="E19" s="138"/>
      <c r="F19" s="138"/>
      <c r="G19" s="138"/>
    </row>
    <row r="20" spans="2:7" x14ac:dyDescent="0.2">
      <c r="B20" s="140">
        <v>48</v>
      </c>
      <c r="C20" s="140">
        <v>11.59</v>
      </c>
      <c r="D20" s="138"/>
      <c r="E20" s="138"/>
      <c r="F20" s="138"/>
      <c r="G20" s="138"/>
    </row>
    <row r="21" spans="2:7" x14ac:dyDescent="0.2">
      <c r="B21" s="140">
        <v>49</v>
      </c>
      <c r="C21" s="140">
        <v>11.44</v>
      </c>
      <c r="D21" s="138"/>
      <c r="E21" s="138"/>
      <c r="F21" s="138"/>
      <c r="G21" s="138"/>
    </row>
    <row r="22" spans="2:7" x14ac:dyDescent="0.2">
      <c r="B22" s="140">
        <v>50</v>
      </c>
      <c r="C22" s="140">
        <v>11.29</v>
      </c>
      <c r="D22" s="138"/>
      <c r="E22" s="138"/>
      <c r="F22" s="138"/>
      <c r="G22" s="138"/>
    </row>
    <row r="23" spans="2:7" x14ac:dyDescent="0.2">
      <c r="B23" s="140">
        <v>51</v>
      </c>
      <c r="C23" s="140">
        <v>11.14</v>
      </c>
      <c r="D23" s="138"/>
      <c r="E23" s="138"/>
      <c r="F23" s="138"/>
      <c r="G23" s="138"/>
    </row>
    <row r="24" spans="2:7" x14ac:dyDescent="0.2">
      <c r="B24" s="140">
        <v>52</v>
      </c>
      <c r="C24" s="143">
        <v>11</v>
      </c>
    </row>
    <row r="25" spans="2:7" x14ac:dyDescent="0.2">
      <c r="B25" s="140">
        <v>53</v>
      </c>
      <c r="C25" s="140">
        <v>10.86</v>
      </c>
    </row>
    <row r="26" spans="2:7" x14ac:dyDescent="0.2">
      <c r="B26" s="140">
        <v>54</v>
      </c>
      <c r="C26" s="140">
        <v>10.72</v>
      </c>
    </row>
    <row r="27" spans="2:7" ht="15.75" x14ac:dyDescent="0.25">
      <c r="B27" s="140">
        <v>55</v>
      </c>
      <c r="C27" s="140">
        <v>10.59</v>
      </c>
      <c r="D27" s="138"/>
      <c r="E27" s="138"/>
      <c r="F27" s="138"/>
      <c r="G27" s="144"/>
    </row>
    <row r="28" spans="2:7" ht="15.75" x14ac:dyDescent="0.25">
      <c r="B28" s="140">
        <v>56</v>
      </c>
      <c r="C28" s="140">
        <v>10.46</v>
      </c>
      <c r="D28" s="144" t="s">
        <v>367</v>
      </c>
      <c r="E28" s="144"/>
      <c r="F28" s="138"/>
      <c r="G28" s="138"/>
    </row>
    <row r="29" spans="2:7" ht="15.75" x14ac:dyDescent="0.25">
      <c r="B29" s="140">
        <v>57</v>
      </c>
      <c r="C29" s="140">
        <v>10.33</v>
      </c>
      <c r="D29" s="144"/>
      <c r="E29" s="144"/>
      <c r="F29" s="138"/>
      <c r="G29" s="138"/>
    </row>
    <row r="30" spans="2:7" ht="15.75" x14ac:dyDescent="0.25">
      <c r="B30" s="140">
        <v>58</v>
      </c>
      <c r="C30" s="140">
        <v>10.210000000000001</v>
      </c>
      <c r="D30" s="138"/>
      <c r="E30" s="145" t="s">
        <v>368</v>
      </c>
      <c r="F30" s="138"/>
      <c r="G30" s="138"/>
    </row>
    <row r="31" spans="2:7" x14ac:dyDescent="0.2">
      <c r="B31" s="140">
        <v>59</v>
      </c>
      <c r="C31" s="140">
        <v>10.08</v>
      </c>
      <c r="D31" s="138"/>
      <c r="E31" s="138"/>
      <c r="F31" s="138"/>
      <c r="G31" s="138"/>
    </row>
    <row r="32" spans="2:7" x14ac:dyDescent="0.2">
      <c r="B32" s="140">
        <v>60</v>
      </c>
      <c r="C32" s="140">
        <v>9.9600000000000009</v>
      </c>
      <c r="D32" s="138"/>
      <c r="E32" s="138"/>
      <c r="F32" s="138"/>
      <c r="G32" s="138"/>
    </row>
    <row r="33" spans="2:7" x14ac:dyDescent="0.2">
      <c r="B33" s="140">
        <v>61</v>
      </c>
      <c r="C33" s="140">
        <v>9.85</v>
      </c>
      <c r="D33" s="138"/>
      <c r="E33" s="138"/>
      <c r="F33" s="138"/>
      <c r="G33" s="138"/>
    </row>
    <row r="34" spans="2:7" x14ac:dyDescent="0.2">
      <c r="B34" s="140">
        <v>62</v>
      </c>
      <c r="C34" s="140">
        <v>9.73</v>
      </c>
      <c r="D34" s="138"/>
      <c r="E34" s="138"/>
      <c r="F34" s="138"/>
      <c r="G34" s="138"/>
    </row>
    <row r="35" spans="2:7" x14ac:dyDescent="0.2">
      <c r="B35" s="140">
        <v>63</v>
      </c>
      <c r="C35" s="140">
        <v>9.6199999999999992</v>
      </c>
      <c r="D35" s="138"/>
      <c r="E35" s="138"/>
      <c r="F35" s="138"/>
      <c r="G35" s="138"/>
    </row>
    <row r="36" spans="2:7" x14ac:dyDescent="0.2">
      <c r="B36" s="140">
        <v>64</v>
      </c>
      <c r="C36" s="140">
        <v>9.51</v>
      </c>
      <c r="D36" s="138"/>
      <c r="E36" s="138"/>
      <c r="F36" s="138"/>
      <c r="G36" s="138"/>
    </row>
    <row r="37" spans="2:7" x14ac:dyDescent="0.2">
      <c r="B37" s="140">
        <v>65</v>
      </c>
      <c r="C37" s="143">
        <v>9.4</v>
      </c>
      <c r="D37" s="138"/>
      <c r="E37" s="138"/>
      <c r="F37" s="138"/>
      <c r="G37" s="138"/>
    </row>
    <row r="38" spans="2:7" x14ac:dyDescent="0.2">
      <c r="B38" s="140">
        <v>66</v>
      </c>
      <c r="C38" s="143">
        <v>9.3000000000000007</v>
      </c>
      <c r="D38" s="138"/>
      <c r="E38" s="138"/>
      <c r="F38" s="138"/>
      <c r="G38" s="138"/>
    </row>
    <row r="39" spans="2:7" x14ac:dyDescent="0.2">
      <c r="B39" s="140">
        <v>67</v>
      </c>
      <c r="C39" s="143">
        <v>9.19</v>
      </c>
      <c r="D39" s="138"/>
      <c r="E39" s="138"/>
      <c r="F39" s="138"/>
      <c r="G39" s="138"/>
    </row>
    <row r="40" spans="2:7" x14ac:dyDescent="0.2">
      <c r="B40" s="140">
        <v>68</v>
      </c>
      <c r="C40" s="140">
        <v>9.09</v>
      </c>
      <c r="D40" s="138"/>
      <c r="E40" s="138"/>
      <c r="F40" s="138"/>
      <c r="G40" s="138"/>
    </row>
    <row r="41" spans="2:7" x14ac:dyDescent="0.2">
      <c r="B41" s="140">
        <v>69</v>
      </c>
      <c r="C41" s="140">
        <v>8.99</v>
      </c>
      <c r="D41" s="138"/>
      <c r="E41" s="138"/>
      <c r="F41" s="138"/>
      <c r="G41" s="138"/>
    </row>
    <row r="42" spans="2:7" x14ac:dyDescent="0.2">
      <c r="B42" s="140">
        <v>70</v>
      </c>
      <c r="C42" s="143">
        <v>8.9</v>
      </c>
      <c r="D42" s="138"/>
      <c r="E42" s="138"/>
      <c r="F42" s="138"/>
      <c r="G42" s="138"/>
    </row>
    <row r="43" spans="2:7" x14ac:dyDescent="0.2">
      <c r="B43" s="146">
        <v>71</v>
      </c>
      <c r="C43" s="147">
        <v>8.8000000000000007</v>
      </c>
    </row>
    <row r="44" spans="2:7" x14ac:dyDescent="0.2">
      <c r="B44" s="146">
        <v>72</v>
      </c>
      <c r="C44" s="147">
        <v>8.7100000000000009</v>
      </c>
    </row>
    <row r="45" spans="2:7" x14ac:dyDescent="0.2">
      <c r="B45" s="146">
        <v>73</v>
      </c>
      <c r="C45" s="147">
        <v>8.61</v>
      </c>
    </row>
    <row r="46" spans="2:7" x14ac:dyDescent="0.2">
      <c r="B46" s="146">
        <v>74</v>
      </c>
      <c r="C46" s="147">
        <v>8.52</v>
      </c>
    </row>
    <row r="47" spans="2:7" x14ac:dyDescent="0.2">
      <c r="B47" s="146">
        <v>75</v>
      </c>
      <c r="C47" s="147">
        <v>8.44</v>
      </c>
    </row>
    <row r="48" spans="2:7" x14ac:dyDescent="0.2">
      <c r="B48" s="146">
        <v>76</v>
      </c>
      <c r="C48" s="147">
        <v>8.35</v>
      </c>
    </row>
    <row r="49" spans="2:3" x14ac:dyDescent="0.2">
      <c r="B49" s="146">
        <v>77</v>
      </c>
      <c r="C49" s="147">
        <v>8.26</v>
      </c>
    </row>
    <row r="50" spans="2:3" x14ac:dyDescent="0.2">
      <c r="B50" s="146">
        <v>78</v>
      </c>
      <c r="C50" s="147">
        <v>8.18</v>
      </c>
    </row>
    <row r="51" spans="2:3" x14ac:dyDescent="0.2">
      <c r="B51" s="146">
        <v>79</v>
      </c>
      <c r="C51" s="147">
        <v>8.1</v>
      </c>
    </row>
    <row r="52" spans="2:3" x14ac:dyDescent="0.2">
      <c r="B52" s="146">
        <v>80</v>
      </c>
      <c r="C52" s="147">
        <v>8.02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 Introduction</vt:lpstr>
      <vt:lpstr>2. Pre-Anoxic Denitrif.</vt:lpstr>
      <vt:lpstr>3. Post-Anoxic Denitrif</vt:lpstr>
      <vt:lpstr>4. SARRmax vs D.O.</vt:lpstr>
      <vt:lpstr>5. Satn DO vs T</vt:lpstr>
    </vt:vector>
  </TitlesOfParts>
  <Company>self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Harlan</dc:creator>
  <cp:lastModifiedBy>Harlan Bengtson</cp:lastModifiedBy>
  <cp:lastPrinted>2015-09-16T13:05:30Z</cp:lastPrinted>
  <dcterms:created xsi:type="dcterms:W3CDTF">2015-03-21T14:52:21Z</dcterms:created>
  <dcterms:modified xsi:type="dcterms:W3CDTF">2021-12-08T23:33:04Z</dcterms:modified>
</cp:coreProperties>
</file>